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FEJL\FORDULAT_KKV beruházási\Kalkulátor\"/>
    </mc:Choice>
  </mc:AlternateContent>
  <workbookProtection workbookAlgorithmName="SHA-512" workbookHashValue="NcjkxiOU1aYlE4IQakpY44nVI1iMBRQlAtiPhOckzEmStrujVeVtccSbZOfSxlfxqlHaWpUgLuENyu0vvjtv7A==" workbookSaltValue="zp2BxqJBDi1m+DpgqxXWBw==" workbookSpinCount="100000" lockStructure="1"/>
  <bookViews>
    <workbookView xWindow="0" yWindow="0" windowWidth="28800" windowHeight="12300"/>
  </bookViews>
  <sheets>
    <sheet name="Elolap" sheetId="19" r:id="rId1"/>
    <sheet name="Tamogatastartalom" sheetId="1" r:id="rId2"/>
    <sheet name="Szamitasok" sheetId="17" state="hidden" r:id="rId3"/>
    <sheet name="Adatok" sheetId="16" state="hidden" r:id="rId4"/>
  </sheets>
  <definedNames>
    <definedName name="altalanoskizarok">Szamitasok!$A$4</definedName>
    <definedName name="arfolyam">Tamogatastartalom!$C$10</definedName>
    <definedName name="deminimiskizarok">Szamitasok!$H$4</definedName>
    <definedName name="eurelszamolhato">Szamitasok!$B$9</definedName>
    <definedName name="eximfelar">Tamogatastartalom!$D$11</definedName>
    <definedName name="forintelszamolhato">Szamitasok!$B$21</definedName>
    <definedName name="halaszatikizarok">Szamitasok!$A$6</definedName>
    <definedName name="Helyszín">Adatok!$A$12:$A$19</definedName>
    <definedName name="Hitelek">Adatok!$S$2:$S$5</definedName>
    <definedName name="hitelpertamogatasarany">Szamitasok!$B$25</definedName>
    <definedName name="Közép_Magyarország">Adatok!$A$21:$A$209</definedName>
    <definedName name="mezogazdkizarok">Szamitasok!$A$5</definedName>
    <definedName name="minkamatkedv">Tamogatastartalom!$D$12</definedName>
    <definedName name="piacikamat">Tamogatastartalom!$C$17</definedName>
    <definedName name="refkam">Tamogatastartalom!$C$11</definedName>
    <definedName name="refkammax">Adatok!$K$7</definedName>
    <definedName name="refkammin">Adatok!$K$6</definedName>
    <definedName name="solver_adj" localSheetId="1" hidden="1">Tamogatastartalom!$C$29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Tamogatastartalom!$I$4</definedName>
    <definedName name="solver_pre" localSheetId="1" hidden="1">0.000001</definedName>
    <definedName name="solver_rbv" localSheetId="1" hidden="1">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100000</definedName>
    <definedName name="solver_ver" localSheetId="1" hidden="1">3</definedName>
    <definedName name="tenylegeskamat">Tamogatastartalom!$C$29</definedName>
    <definedName name="tenylegestt">Tamogatastartalom!$I$4</definedName>
    <definedName name="tizenheteskizarok">Szamitasok!$H$6</definedName>
    <definedName name="tizennegyeskizarok">Szamitasok!$H$5</definedName>
    <definedName name="torlesztes">Tamogatastartalom!$C$30</definedName>
    <definedName name="Törlesztés">Adatok!$M$4:$M$5</definedName>
    <definedName name="Törlesztés_lízing">Adatok!$M$7</definedName>
    <definedName name="Törlesztésgyakoriság">Adatok!$P$3:$P$5</definedName>
    <definedName name="ttmax_alt">Tamogatastartalom!$G$10</definedName>
    <definedName name="ttmax_hal">Tamogatastartalom!$I$10</definedName>
    <definedName name="ttmax_mg">Tamogatastartalom!$H$10</definedName>
    <definedName name="ttmax14es">Tamogatastartalom!$G$22</definedName>
    <definedName name="ttmax17es">Tamogatastartalom!$H$22</definedName>
    <definedName name="vallmeret">Szamitasok!$B$19</definedName>
  </definedNames>
  <calcPr calcId="162913"/>
</workbook>
</file>

<file path=xl/calcChain.xml><?xml version="1.0" encoding="utf-8"?>
<calcChain xmlns="http://schemas.openxmlformats.org/spreadsheetml/2006/main">
  <c r="B26" i="1" l="1"/>
  <c r="G10" i="1" l="1"/>
  <c r="AJ6" i="1" l="1"/>
  <c r="T1" i="1"/>
  <c r="R45" i="1" l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L1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B48" i="1" l="1"/>
  <c r="B50" i="1"/>
  <c r="B49" i="1"/>
  <c r="B24" i="1" l="1"/>
  <c r="B21" i="17" l="1"/>
  <c r="B9" i="17"/>
  <c r="B10" i="17" s="1"/>
  <c r="B11" i="17" s="1"/>
  <c r="D3" i="17"/>
  <c r="B15" i="17"/>
  <c r="B23" i="1"/>
  <c r="G13" i="1"/>
  <c r="B28" i="1" l="1"/>
  <c r="I3" i="1" l="1"/>
  <c r="F6" i="17"/>
  <c r="E5" i="17"/>
  <c r="C1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B23" i="17" l="1"/>
  <c r="AK7" i="1"/>
  <c r="O7" i="1"/>
  <c r="C29" i="1" l="1"/>
  <c r="A5" i="17" l="1"/>
  <c r="H10" i="1" s="1"/>
  <c r="B31" i="1" l="1"/>
  <c r="D19" i="1" l="1"/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O45" i="1"/>
  <c r="O46" i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N8" i="1"/>
  <c r="R8" i="1" s="1"/>
  <c r="R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8" i="1"/>
  <c r="N7" i="1"/>
  <c r="R7" i="1" l="1"/>
  <c r="Q7" i="1"/>
  <c r="Q8" i="1"/>
  <c r="O9" i="1"/>
  <c r="AI7" i="1"/>
  <c r="Q9" i="1" l="1"/>
  <c r="AP7" i="1" s="1"/>
  <c r="AJ7" i="1"/>
  <c r="AA7" i="1" l="1"/>
  <c r="AB7" i="1"/>
  <c r="AC7" i="1"/>
  <c r="Q5" i="1"/>
  <c r="B17" i="17" l="1"/>
  <c r="B14" i="17" l="1"/>
  <c r="AJ8" i="1" l="1"/>
  <c r="AB8" i="1" l="1"/>
  <c r="AA8" i="1"/>
  <c r="AJ9" i="1"/>
  <c r="AF7" i="1"/>
  <c r="C17" i="1"/>
  <c r="K4" i="16"/>
  <c r="K6" i="16" s="1"/>
  <c r="A6" i="17"/>
  <c r="I10" i="1" s="1"/>
  <c r="AA9" i="1" l="1"/>
  <c r="AB9" i="1"/>
  <c r="P7" i="1"/>
  <c r="P8" i="1"/>
  <c r="AJ10" i="1"/>
  <c r="B19" i="17"/>
  <c r="H22" i="1" s="1"/>
  <c r="H20" i="1" s="1"/>
  <c r="K7" i="16"/>
  <c r="AB10" i="1" l="1"/>
  <c r="AA10" i="1"/>
  <c r="P5" i="1"/>
  <c r="AM7" i="1"/>
  <c r="AJ11" i="1"/>
  <c r="A4" i="17"/>
  <c r="AB11" i="1" l="1"/>
  <c r="AA11" i="1"/>
  <c r="AJ12" i="1"/>
  <c r="AA12" i="1" l="1"/>
  <c r="AB12" i="1"/>
  <c r="AJ13" i="1"/>
  <c r="D10" i="1"/>
  <c r="AA13" i="1" l="1"/>
  <c r="AB13" i="1"/>
  <c r="AJ14" i="1"/>
  <c r="I5" i="1"/>
  <c r="AB14" i="1" l="1"/>
  <c r="AA14" i="1"/>
  <c r="AJ15" i="1"/>
  <c r="AT7" i="1"/>
  <c r="AB15" i="1" l="1"/>
  <c r="AA15" i="1"/>
  <c r="AJ16" i="1"/>
  <c r="AK5" i="1"/>
  <c r="AN7" i="1"/>
  <c r="AB16" i="1" l="1"/>
  <c r="AA16" i="1"/>
  <c r="AF16" i="1" s="1"/>
  <c r="AJ17" i="1"/>
  <c r="AF11" i="1"/>
  <c r="AF9" i="1"/>
  <c r="AF15" i="1"/>
  <c r="AF14" i="1"/>
  <c r="AF8" i="1"/>
  <c r="AF12" i="1"/>
  <c r="AF10" i="1"/>
  <c r="AF13" i="1"/>
  <c r="AT8" i="1"/>
  <c r="AI8" i="1"/>
  <c r="AN5" i="1"/>
  <c r="AA17" i="1" l="1"/>
  <c r="AF17" i="1" s="1"/>
  <c r="AB17" i="1"/>
  <c r="AJ18" i="1"/>
  <c r="AT9" i="1"/>
  <c r="AI9" i="1"/>
  <c r="AB18" i="1" l="1"/>
  <c r="AA18" i="1"/>
  <c r="AJ19" i="1"/>
  <c r="AT10" i="1"/>
  <c r="AI10" i="1"/>
  <c r="AA19" i="1" l="1"/>
  <c r="AB19" i="1"/>
  <c r="AF18" i="1"/>
  <c r="AJ20" i="1"/>
  <c r="AT11" i="1"/>
  <c r="AI11" i="1"/>
  <c r="AA20" i="1" l="1"/>
  <c r="AB20" i="1"/>
  <c r="AF19" i="1"/>
  <c r="AJ21" i="1"/>
  <c r="AT12" i="1"/>
  <c r="AI12" i="1"/>
  <c r="AA21" i="1" l="1"/>
  <c r="AB21" i="1"/>
  <c r="AF20" i="1"/>
  <c r="AJ22" i="1"/>
  <c r="AT13" i="1"/>
  <c r="AI13" i="1"/>
  <c r="AB22" i="1" l="1"/>
  <c r="AA22" i="1"/>
  <c r="AF21" i="1"/>
  <c r="AJ23" i="1"/>
  <c r="AT14" i="1"/>
  <c r="AI14" i="1"/>
  <c r="AB23" i="1" l="1"/>
  <c r="AA23" i="1"/>
  <c r="AF22" i="1"/>
  <c r="AJ24" i="1"/>
  <c r="AT15" i="1"/>
  <c r="AI15" i="1"/>
  <c r="AA24" i="1" l="1"/>
  <c r="AB24" i="1"/>
  <c r="AF23" i="1"/>
  <c r="AJ25" i="1"/>
  <c r="AT16" i="1"/>
  <c r="AI16" i="1"/>
  <c r="AA25" i="1" l="1"/>
  <c r="AB25" i="1"/>
  <c r="AF24" i="1"/>
  <c r="AJ26" i="1"/>
  <c r="AT17" i="1"/>
  <c r="AI17" i="1"/>
  <c r="AB26" i="1" l="1"/>
  <c r="AA26" i="1"/>
  <c r="AF25" i="1"/>
  <c r="AJ27" i="1"/>
  <c r="AT18" i="1"/>
  <c r="AI18" i="1"/>
  <c r="AA27" i="1" l="1"/>
  <c r="AB27" i="1"/>
  <c r="AF26" i="1"/>
  <c r="AJ28" i="1"/>
  <c r="AT19" i="1"/>
  <c r="AI19" i="1"/>
  <c r="AT20" i="1"/>
  <c r="AA28" i="1" l="1"/>
  <c r="AB28" i="1"/>
  <c r="AF27" i="1"/>
  <c r="AJ29" i="1"/>
  <c r="AI20" i="1"/>
  <c r="AT21" i="1"/>
  <c r="AA29" i="1" l="1"/>
  <c r="AB29" i="1"/>
  <c r="AF28" i="1"/>
  <c r="AJ30" i="1"/>
  <c r="AI21" i="1"/>
  <c r="AT22" i="1"/>
  <c r="AB30" i="1" l="1"/>
  <c r="AA30" i="1"/>
  <c r="AF29" i="1"/>
  <c r="AJ31" i="1"/>
  <c r="AI22" i="1"/>
  <c r="AT23" i="1"/>
  <c r="AB31" i="1" l="1"/>
  <c r="AA31" i="1"/>
  <c r="AF30" i="1"/>
  <c r="AJ32" i="1"/>
  <c r="AI23" i="1"/>
  <c r="AT24" i="1"/>
  <c r="AB32" i="1" l="1"/>
  <c r="AA32" i="1"/>
  <c r="AF31" i="1"/>
  <c r="AJ33" i="1"/>
  <c r="AI24" i="1"/>
  <c r="AT25" i="1"/>
  <c r="AA33" i="1" l="1"/>
  <c r="AB33" i="1"/>
  <c r="AF32" i="1"/>
  <c r="AJ34" i="1"/>
  <c r="AI25" i="1"/>
  <c r="AI26" i="1" s="1"/>
  <c r="AT26" i="1"/>
  <c r="AB34" i="1" l="1"/>
  <c r="AA34" i="1"/>
  <c r="AF33" i="1"/>
  <c r="AJ35" i="1"/>
  <c r="AT27" i="1"/>
  <c r="AI27" i="1"/>
  <c r="AB35" i="1" l="1"/>
  <c r="AA35" i="1"/>
  <c r="AF34" i="1"/>
  <c r="AJ36" i="1"/>
  <c r="AT28" i="1"/>
  <c r="AI28" i="1"/>
  <c r="AA36" i="1" l="1"/>
  <c r="AB36" i="1"/>
  <c r="AF35" i="1"/>
  <c r="AJ37" i="1"/>
  <c r="AT29" i="1"/>
  <c r="AI29" i="1"/>
  <c r="AA37" i="1" l="1"/>
  <c r="AB37" i="1"/>
  <c r="AF36" i="1"/>
  <c r="AJ38" i="1"/>
  <c r="AT30" i="1"/>
  <c r="AI30" i="1"/>
  <c r="AB38" i="1" l="1"/>
  <c r="AA38" i="1"/>
  <c r="AF37" i="1"/>
  <c r="AJ39" i="1"/>
  <c r="AT31" i="1"/>
  <c r="AI31" i="1"/>
  <c r="AB39" i="1" l="1"/>
  <c r="AA39" i="1"/>
  <c r="AF38" i="1"/>
  <c r="AJ40" i="1"/>
  <c r="AT32" i="1"/>
  <c r="AI32" i="1"/>
  <c r="AB40" i="1" l="1"/>
  <c r="AA40" i="1"/>
  <c r="AF39" i="1"/>
  <c r="AJ41" i="1"/>
  <c r="AT33" i="1"/>
  <c r="AI33" i="1"/>
  <c r="AB41" i="1" l="1"/>
  <c r="AA41" i="1"/>
  <c r="AF40" i="1"/>
  <c r="AJ42" i="1"/>
  <c r="AT34" i="1"/>
  <c r="AI34" i="1"/>
  <c r="AB42" i="1" l="1"/>
  <c r="AA42" i="1"/>
  <c r="AF41" i="1"/>
  <c r="AJ43" i="1"/>
  <c r="AT35" i="1"/>
  <c r="AI35" i="1"/>
  <c r="AA43" i="1" l="1"/>
  <c r="AB43" i="1"/>
  <c r="AF42" i="1"/>
  <c r="AJ44" i="1"/>
  <c r="AT36" i="1"/>
  <c r="AI36" i="1"/>
  <c r="AA44" i="1" l="1"/>
  <c r="AB44" i="1"/>
  <c r="AF43" i="1"/>
  <c r="AJ45" i="1"/>
  <c r="AT37" i="1"/>
  <c r="AI37" i="1"/>
  <c r="AA45" i="1" l="1"/>
  <c r="AB45" i="1"/>
  <c r="AF44" i="1"/>
  <c r="AJ46" i="1"/>
  <c r="AT38" i="1"/>
  <c r="AI38" i="1"/>
  <c r="AJ47" i="1" l="1"/>
  <c r="AB46" i="1"/>
  <c r="AA46" i="1"/>
  <c r="AF45" i="1"/>
  <c r="AT39" i="1"/>
  <c r="AI39" i="1"/>
  <c r="AJ48" i="1" l="1"/>
  <c r="AB47" i="1"/>
  <c r="AA47" i="1"/>
  <c r="AF47" i="1" s="1"/>
  <c r="AT47" i="1"/>
  <c r="AF46" i="1"/>
  <c r="AT40" i="1"/>
  <c r="AI40" i="1"/>
  <c r="AT48" i="1" l="1"/>
  <c r="AB48" i="1"/>
  <c r="AA48" i="1"/>
  <c r="AF48" i="1" s="1"/>
  <c r="AJ49" i="1"/>
  <c r="AT41" i="1"/>
  <c r="AI41" i="1"/>
  <c r="AT49" i="1" l="1"/>
  <c r="AB49" i="1"/>
  <c r="AA49" i="1"/>
  <c r="AF49" i="1" s="1"/>
  <c r="AJ50" i="1"/>
  <c r="AT42" i="1"/>
  <c r="AI42" i="1"/>
  <c r="AT50" i="1" l="1"/>
  <c r="AA50" i="1"/>
  <c r="AF50" i="1" s="1"/>
  <c r="AJ51" i="1"/>
  <c r="AB50" i="1"/>
  <c r="AT43" i="1"/>
  <c r="AI43" i="1"/>
  <c r="AT51" i="1" l="1"/>
  <c r="AJ52" i="1"/>
  <c r="AB51" i="1"/>
  <c r="AA51" i="1"/>
  <c r="AF51" i="1" s="1"/>
  <c r="AT44" i="1"/>
  <c r="AI44" i="1"/>
  <c r="AT52" i="1" l="1"/>
  <c r="AB52" i="1"/>
  <c r="AA52" i="1"/>
  <c r="AF52" i="1" s="1"/>
  <c r="AJ53" i="1"/>
  <c r="AT45" i="1"/>
  <c r="AI45" i="1"/>
  <c r="AT53" i="1" l="1"/>
  <c r="AJ54" i="1"/>
  <c r="AA53" i="1"/>
  <c r="AF53" i="1" s="1"/>
  <c r="AB53" i="1"/>
  <c r="AT46" i="1"/>
  <c r="AI46" i="1"/>
  <c r="AI47" i="1" s="1"/>
  <c r="AI48" i="1" s="1"/>
  <c r="AI49" i="1" s="1"/>
  <c r="AI50" i="1" s="1"/>
  <c r="AI51" i="1" s="1"/>
  <c r="AI52" i="1" s="1"/>
  <c r="AI53" i="1" s="1"/>
  <c r="AT54" i="1" l="1"/>
  <c r="AJ55" i="1"/>
  <c r="AI54" i="1"/>
  <c r="AB54" i="1"/>
  <c r="AA54" i="1"/>
  <c r="AF54" i="1" s="1"/>
  <c r="AT55" i="1" l="1"/>
  <c r="AI55" i="1"/>
  <c r="AB55" i="1"/>
  <c r="AJ56" i="1"/>
  <c r="AA55" i="1"/>
  <c r="AF55" i="1" s="1"/>
  <c r="AT56" i="1" l="1"/>
  <c r="AA56" i="1"/>
  <c r="AF56" i="1" s="1"/>
  <c r="AB56" i="1"/>
  <c r="AI56" i="1"/>
  <c r="AJ57" i="1"/>
  <c r="AT57" i="1" l="1"/>
  <c r="AI57" i="1"/>
  <c r="AA57" i="1"/>
  <c r="AF57" i="1" s="1"/>
  <c r="AB57" i="1"/>
  <c r="AJ58" i="1"/>
  <c r="AT58" i="1" l="1"/>
  <c r="AJ59" i="1"/>
  <c r="AB58" i="1"/>
  <c r="AA58" i="1"/>
  <c r="AF58" i="1" s="1"/>
  <c r="AI58" i="1"/>
  <c r="AT59" i="1" l="1"/>
  <c r="AI59" i="1"/>
  <c r="AB59" i="1"/>
  <c r="AA59" i="1"/>
  <c r="AF59" i="1" s="1"/>
  <c r="AJ60" i="1"/>
  <c r="AT60" i="1" l="1"/>
  <c r="AJ61" i="1"/>
  <c r="AI60" i="1"/>
  <c r="AB60" i="1"/>
  <c r="AA60" i="1"/>
  <c r="AF60" i="1" s="1"/>
  <c r="AT61" i="1" l="1"/>
  <c r="AB61" i="1"/>
  <c r="AA61" i="1"/>
  <c r="AF61" i="1" s="1"/>
  <c r="AJ62" i="1"/>
  <c r="AI61" i="1"/>
  <c r="AT62" i="1" l="1"/>
  <c r="AJ63" i="1"/>
  <c r="AI62" i="1"/>
  <c r="AB62" i="1"/>
  <c r="AA62" i="1"/>
  <c r="AF62" i="1" s="1"/>
  <c r="AT63" i="1" l="1"/>
  <c r="AI63" i="1"/>
  <c r="AJ64" i="1"/>
  <c r="AB63" i="1"/>
  <c r="AA63" i="1"/>
  <c r="AF63" i="1" s="1"/>
  <c r="AT64" i="1" l="1"/>
  <c r="AI64" i="1"/>
  <c r="AJ65" i="1"/>
  <c r="AB64" i="1"/>
  <c r="AA64" i="1"/>
  <c r="AF64" i="1" s="1"/>
  <c r="AT65" i="1" l="1"/>
  <c r="AJ66" i="1"/>
  <c r="AI65" i="1"/>
  <c r="AB65" i="1"/>
  <c r="AA65" i="1"/>
  <c r="AF65" i="1" s="1"/>
  <c r="AD7" i="1"/>
  <c r="AT66" i="1" l="1"/>
  <c r="AB66" i="1"/>
  <c r="V122" i="1"/>
  <c r="Z122" i="1" s="1"/>
  <c r="V95" i="1"/>
  <c r="Z95" i="1" s="1"/>
  <c r="V41" i="1"/>
  <c r="Z41" i="1" s="1"/>
  <c r="V65" i="1"/>
  <c r="Z65" i="1" s="1"/>
  <c r="V66" i="1"/>
  <c r="Z66" i="1" s="1"/>
  <c r="V57" i="1"/>
  <c r="Z57" i="1" s="1"/>
  <c r="V88" i="1"/>
  <c r="Z88" i="1" s="1"/>
  <c r="V11" i="1"/>
  <c r="Z11" i="1" s="1"/>
  <c r="V51" i="1"/>
  <c r="Z51" i="1" s="1"/>
  <c r="V60" i="1"/>
  <c r="Z60" i="1" s="1"/>
  <c r="V99" i="1"/>
  <c r="Z99" i="1" s="1"/>
  <c r="V27" i="1"/>
  <c r="Z27" i="1" s="1"/>
  <c r="V61" i="1"/>
  <c r="Z61" i="1" s="1"/>
  <c r="V53" i="1"/>
  <c r="Z53" i="1" s="1"/>
  <c r="V20" i="1"/>
  <c r="Z20" i="1" s="1"/>
  <c r="V67" i="1"/>
  <c r="Z67" i="1" s="1"/>
  <c r="AA66" i="1"/>
  <c r="V10" i="1"/>
  <c r="Z10" i="1" s="1"/>
  <c r="V114" i="1"/>
  <c r="Z114" i="1" s="1"/>
  <c r="V63" i="1"/>
  <c r="Z63" i="1" s="1"/>
  <c r="V106" i="1"/>
  <c r="Z106" i="1" s="1"/>
  <c r="V118" i="1"/>
  <c r="Z118" i="1" s="1"/>
  <c r="V79" i="1"/>
  <c r="Z79" i="1" s="1"/>
  <c r="V24" i="1"/>
  <c r="Z24" i="1" s="1"/>
  <c r="V80" i="1"/>
  <c r="Z80" i="1" s="1"/>
  <c r="V64" i="1"/>
  <c r="Z64" i="1" s="1"/>
  <c r="V107" i="1"/>
  <c r="Z107" i="1" s="1"/>
  <c r="V56" i="1"/>
  <c r="Z56" i="1" s="1"/>
  <c r="V104" i="1"/>
  <c r="Z104" i="1" s="1"/>
  <c r="V100" i="1"/>
  <c r="Z100" i="1" s="1"/>
  <c r="V28" i="1"/>
  <c r="Z28" i="1" s="1"/>
  <c r="V8" i="1"/>
  <c r="Z8" i="1" s="1"/>
  <c r="V74" i="1"/>
  <c r="Z74" i="1" s="1"/>
  <c r="V123" i="1"/>
  <c r="Z123" i="1" s="1"/>
  <c r="V82" i="1"/>
  <c r="Z82" i="1" s="1"/>
  <c r="V120" i="1"/>
  <c r="Z120" i="1" s="1"/>
  <c r="V25" i="1"/>
  <c r="Z25" i="1" s="1"/>
  <c r="V34" i="1"/>
  <c r="Z34" i="1" s="1"/>
  <c r="V62" i="1"/>
  <c r="Z62" i="1" s="1"/>
  <c r="V16" i="1"/>
  <c r="Z16" i="1" s="1"/>
  <c r="V52" i="1"/>
  <c r="Z52" i="1" s="1"/>
  <c r="V43" i="1"/>
  <c r="Z43" i="1" s="1"/>
  <c r="V94" i="1"/>
  <c r="Z94" i="1" s="1"/>
  <c r="V92" i="1"/>
  <c r="Z92" i="1" s="1"/>
  <c r="V36" i="1"/>
  <c r="Z36" i="1" s="1"/>
  <c r="V96" i="1"/>
  <c r="Z96" i="1" s="1"/>
  <c r="V26" i="1"/>
  <c r="Z26" i="1" s="1"/>
  <c r="V124" i="1"/>
  <c r="Z124" i="1" s="1"/>
  <c r="V33" i="1"/>
  <c r="Z33" i="1" s="1"/>
  <c r="V105" i="1"/>
  <c r="Z105" i="1" s="1"/>
  <c r="V7" i="1"/>
  <c r="Z7" i="1" s="1"/>
  <c r="V81" i="1"/>
  <c r="Z81" i="1" s="1"/>
  <c r="V39" i="1"/>
  <c r="Z39" i="1" s="1"/>
  <c r="V101" i="1"/>
  <c r="Z101" i="1" s="1"/>
  <c r="V54" i="1"/>
  <c r="Z54" i="1" s="1"/>
  <c r="V72" i="1"/>
  <c r="Z72" i="1" s="1"/>
  <c r="V38" i="1"/>
  <c r="Z38" i="1" s="1"/>
  <c r="V30" i="1"/>
  <c r="Z30" i="1" s="1"/>
  <c r="V75" i="1"/>
  <c r="Z75" i="1" s="1"/>
  <c r="V83" i="1"/>
  <c r="Z83" i="1" s="1"/>
  <c r="V32" i="1"/>
  <c r="Z32" i="1" s="1"/>
  <c r="AI66" i="1"/>
  <c r="V49" i="1"/>
  <c r="Z49" i="1" s="1"/>
  <c r="V9" i="1"/>
  <c r="Z9" i="1" s="1"/>
  <c r="V97" i="1"/>
  <c r="Z97" i="1" s="1"/>
  <c r="V119" i="1"/>
  <c r="Z119" i="1" s="1"/>
  <c r="V58" i="1"/>
  <c r="Z58" i="1" s="1"/>
  <c r="V125" i="1"/>
  <c r="Z125" i="1" s="1"/>
  <c r="V111" i="1"/>
  <c r="Z111" i="1" s="1"/>
  <c r="V37" i="1"/>
  <c r="Z37" i="1" s="1"/>
  <c r="V93" i="1"/>
  <c r="Z93" i="1" s="1"/>
  <c r="V110" i="1"/>
  <c r="Z110" i="1" s="1"/>
  <c r="V13" i="1"/>
  <c r="Z13" i="1" s="1"/>
  <c r="V69" i="1"/>
  <c r="Z69" i="1" s="1"/>
  <c r="V112" i="1"/>
  <c r="Z112" i="1" s="1"/>
  <c r="V19" i="1"/>
  <c r="Z19" i="1" s="1"/>
  <c r="V70" i="1"/>
  <c r="Z70" i="1" s="1"/>
  <c r="V109" i="1"/>
  <c r="Z109" i="1" s="1"/>
  <c r="AJ67" i="1"/>
  <c r="V71" i="1"/>
  <c r="Z71" i="1" s="1"/>
  <c r="V31" i="1"/>
  <c r="Z31" i="1" s="1"/>
  <c r="V116" i="1"/>
  <c r="Z116" i="1" s="1"/>
  <c r="W7" i="1"/>
  <c r="V117" i="1"/>
  <c r="Z117" i="1" s="1"/>
  <c r="V89" i="1"/>
  <c r="Z89" i="1" s="1"/>
  <c r="V121" i="1"/>
  <c r="Z121" i="1" s="1"/>
  <c r="V76" i="1"/>
  <c r="Z76" i="1" s="1"/>
  <c r="V29" i="1"/>
  <c r="Z29" i="1" s="1"/>
  <c r="V46" i="1"/>
  <c r="Z46" i="1" s="1"/>
  <c r="V35" i="1"/>
  <c r="Z35" i="1" s="1"/>
  <c r="V108" i="1"/>
  <c r="Z108" i="1" s="1"/>
  <c r="V48" i="1"/>
  <c r="Z48" i="1" s="1"/>
  <c r="V40" i="1"/>
  <c r="Z40" i="1" s="1"/>
  <c r="V45" i="1"/>
  <c r="Z45" i="1" s="1"/>
  <c r="AF66" i="1"/>
  <c r="V90" i="1"/>
  <c r="Z90" i="1" s="1"/>
  <c r="V50" i="1"/>
  <c r="Z50" i="1" s="1"/>
  <c r="V55" i="1"/>
  <c r="Z55" i="1" s="1"/>
  <c r="V23" i="1"/>
  <c r="Z23" i="1" s="1"/>
  <c r="V17" i="1"/>
  <c r="Z17" i="1" s="1"/>
  <c r="V126" i="1"/>
  <c r="Z126" i="1" s="1"/>
  <c r="V47" i="1"/>
  <c r="Z47" i="1" s="1"/>
  <c r="V12" i="1"/>
  <c r="Z12" i="1" s="1"/>
  <c r="V68" i="1"/>
  <c r="Z68" i="1" s="1"/>
  <c r="V85" i="1"/>
  <c r="Z85" i="1" s="1"/>
  <c r="V102" i="1"/>
  <c r="Z102" i="1" s="1"/>
  <c r="V44" i="1"/>
  <c r="Z44" i="1" s="1"/>
  <c r="V86" i="1"/>
  <c r="Z86" i="1" s="1"/>
  <c r="V78" i="1"/>
  <c r="Z78" i="1" s="1"/>
  <c r="V87" i="1"/>
  <c r="Z87" i="1" s="1"/>
  <c r="V113" i="1"/>
  <c r="Z113" i="1" s="1"/>
  <c r="V73" i="1"/>
  <c r="Z73" i="1" s="1"/>
  <c r="V18" i="1"/>
  <c r="Z18" i="1" s="1"/>
  <c r="V42" i="1"/>
  <c r="Z42" i="1" s="1"/>
  <c r="V15" i="1"/>
  <c r="Z15" i="1" s="1"/>
  <c r="V98" i="1"/>
  <c r="Z98" i="1" s="1"/>
  <c r="V103" i="1"/>
  <c r="Z103" i="1" s="1"/>
  <c r="V59" i="1"/>
  <c r="Z59" i="1" s="1"/>
  <c r="V115" i="1"/>
  <c r="Z115" i="1" s="1"/>
  <c r="V21" i="1"/>
  <c r="Z21" i="1" s="1"/>
  <c r="V77" i="1"/>
  <c r="Z77" i="1" s="1"/>
  <c r="V91" i="1"/>
  <c r="Z91" i="1" s="1"/>
  <c r="V22" i="1"/>
  <c r="Z22" i="1" s="1"/>
  <c r="V14" i="1"/>
  <c r="Z14" i="1" s="1"/>
  <c r="V84" i="1"/>
  <c r="Z84" i="1" s="1"/>
  <c r="AE7" i="1"/>
  <c r="W8" i="1" l="1"/>
  <c r="X7" i="1"/>
  <c r="Y7" i="1"/>
  <c r="AT67" i="1"/>
  <c r="AJ68" i="1"/>
  <c r="AI67" i="1"/>
  <c r="AA67" i="1"/>
  <c r="AF67" i="1" s="1"/>
  <c r="AB67" i="1"/>
  <c r="AT68" i="1" l="1"/>
  <c r="AJ69" i="1"/>
  <c r="AA68" i="1"/>
  <c r="AF68" i="1" s="1"/>
  <c r="AI68" i="1"/>
  <c r="AB68" i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X8" i="1"/>
  <c r="Y8" i="1"/>
  <c r="W48" i="1" l="1"/>
  <c r="Y47" i="1"/>
  <c r="X47" i="1"/>
  <c r="AT69" i="1"/>
  <c r="AI69" i="1"/>
  <c r="AJ70" i="1"/>
  <c r="AA69" i="1"/>
  <c r="AF69" i="1" s="1"/>
  <c r="AB69" i="1"/>
  <c r="AT70" i="1" l="1"/>
  <c r="AJ71" i="1"/>
  <c r="AI70" i="1"/>
  <c r="AA70" i="1"/>
  <c r="AF70" i="1" s="1"/>
  <c r="AB70" i="1"/>
  <c r="W49" i="1"/>
  <c r="Y48" i="1"/>
  <c r="X48" i="1"/>
  <c r="Y49" i="1" l="1"/>
  <c r="W50" i="1"/>
  <c r="X49" i="1"/>
  <c r="AT71" i="1"/>
  <c r="AI71" i="1"/>
  <c r="AB71" i="1"/>
  <c r="AA71" i="1"/>
  <c r="AF71" i="1" s="1"/>
  <c r="AJ72" i="1"/>
  <c r="X9" i="1"/>
  <c r="W51" i="1" l="1"/>
  <c r="Y50" i="1"/>
  <c r="X50" i="1"/>
  <c r="AT72" i="1"/>
  <c r="AI72" i="1"/>
  <c r="AJ73" i="1"/>
  <c r="AB72" i="1"/>
  <c r="AA72" i="1"/>
  <c r="AF72" i="1" s="1"/>
  <c r="Y9" i="1"/>
  <c r="X10" i="1"/>
  <c r="AT73" i="1" l="1"/>
  <c r="AJ74" i="1"/>
  <c r="AI73" i="1"/>
  <c r="AB73" i="1"/>
  <c r="AA73" i="1"/>
  <c r="AF73" i="1" s="1"/>
  <c r="W52" i="1"/>
  <c r="Y51" i="1"/>
  <c r="X51" i="1"/>
  <c r="X11" i="1"/>
  <c r="Y10" i="1"/>
  <c r="X52" i="1" l="1"/>
  <c r="Y52" i="1"/>
  <c r="W53" i="1"/>
  <c r="AT74" i="1"/>
  <c r="AI74" i="1"/>
  <c r="AJ75" i="1"/>
  <c r="AB74" i="1"/>
  <c r="AA74" i="1"/>
  <c r="AF74" i="1" s="1"/>
  <c r="Y11" i="1"/>
  <c r="X12" i="1"/>
  <c r="AT75" i="1" l="1"/>
  <c r="AJ76" i="1"/>
  <c r="AB75" i="1"/>
  <c r="AI75" i="1"/>
  <c r="AA75" i="1"/>
  <c r="AF75" i="1" s="1"/>
  <c r="W54" i="1"/>
  <c r="Y53" i="1"/>
  <c r="X53" i="1"/>
  <c r="X13" i="1"/>
  <c r="Y12" i="1"/>
  <c r="Y54" i="1" l="1"/>
  <c r="X54" i="1"/>
  <c r="W55" i="1"/>
  <c r="AT76" i="1"/>
  <c r="AA76" i="1"/>
  <c r="AF76" i="1" s="1"/>
  <c r="AI76" i="1"/>
  <c r="AJ77" i="1"/>
  <c r="AB76" i="1"/>
  <c r="X14" i="1"/>
  <c r="AT77" i="1" l="1"/>
  <c r="AI77" i="1"/>
  <c r="AA77" i="1"/>
  <c r="AF77" i="1" s="1"/>
  <c r="AJ78" i="1"/>
  <c r="AB77" i="1"/>
  <c r="X55" i="1"/>
  <c r="W56" i="1"/>
  <c r="Y55" i="1"/>
  <c r="X15" i="1"/>
  <c r="Y56" i="1" l="1"/>
  <c r="W57" i="1"/>
  <c r="X56" i="1"/>
  <c r="AT78" i="1"/>
  <c r="AJ79" i="1"/>
  <c r="AI78" i="1"/>
  <c r="AB78" i="1"/>
  <c r="AA78" i="1"/>
  <c r="AF78" i="1" s="1"/>
  <c r="AT79" i="1" l="1"/>
  <c r="AB79" i="1"/>
  <c r="AA79" i="1"/>
  <c r="AF79" i="1" s="1"/>
  <c r="AJ80" i="1"/>
  <c r="AI79" i="1"/>
  <c r="X57" i="1"/>
  <c r="W58" i="1"/>
  <c r="Y57" i="1"/>
  <c r="X58" i="1" l="1"/>
  <c r="W59" i="1"/>
  <c r="Y58" i="1"/>
  <c r="AT80" i="1"/>
  <c r="AI80" i="1"/>
  <c r="AB80" i="1"/>
  <c r="AA80" i="1"/>
  <c r="AF80" i="1" s="1"/>
  <c r="AJ81" i="1"/>
  <c r="Y59" i="1" l="1"/>
  <c r="W60" i="1"/>
  <c r="X59" i="1"/>
  <c r="AT81" i="1"/>
  <c r="AA81" i="1"/>
  <c r="AF81" i="1" s="1"/>
  <c r="AJ82" i="1"/>
  <c r="AI81" i="1"/>
  <c r="AB81" i="1"/>
  <c r="AT82" i="1" l="1"/>
  <c r="AA82" i="1"/>
  <c r="AF82" i="1" s="1"/>
  <c r="AI82" i="1"/>
  <c r="AJ83" i="1"/>
  <c r="AB82" i="1"/>
  <c r="X60" i="1"/>
  <c r="W61" i="1"/>
  <c r="Y60" i="1"/>
  <c r="AT83" i="1" l="1"/>
  <c r="AJ84" i="1"/>
  <c r="AI83" i="1"/>
  <c r="AA83" i="1"/>
  <c r="AF83" i="1" s="1"/>
  <c r="AB83" i="1"/>
  <c r="X61" i="1"/>
  <c r="Y61" i="1"/>
  <c r="W62" i="1"/>
  <c r="AT84" i="1" l="1"/>
  <c r="AB84" i="1"/>
  <c r="AI84" i="1"/>
  <c r="AA84" i="1"/>
  <c r="AF84" i="1" s="1"/>
  <c r="AJ85" i="1"/>
  <c r="Y62" i="1"/>
  <c r="X62" i="1"/>
  <c r="W63" i="1"/>
  <c r="AT85" i="1" l="1"/>
  <c r="AI85" i="1"/>
  <c r="AJ86" i="1"/>
  <c r="AB85" i="1"/>
  <c r="AA85" i="1"/>
  <c r="AF85" i="1" s="1"/>
  <c r="Y63" i="1"/>
  <c r="W64" i="1"/>
  <c r="X63" i="1"/>
  <c r="W65" i="1" l="1"/>
  <c r="Y64" i="1"/>
  <c r="X64" i="1"/>
  <c r="AT86" i="1"/>
  <c r="AA86" i="1"/>
  <c r="AF86" i="1" s="1"/>
  <c r="AJ87" i="1"/>
  <c r="AI86" i="1"/>
  <c r="AB86" i="1"/>
  <c r="AT87" i="1" l="1"/>
  <c r="AA87" i="1"/>
  <c r="AF87" i="1" s="1"/>
  <c r="AJ88" i="1"/>
  <c r="AB87" i="1"/>
  <c r="AI87" i="1"/>
  <c r="X65" i="1"/>
  <c r="W66" i="1"/>
  <c r="Y65" i="1"/>
  <c r="X66" i="1" l="1"/>
  <c r="Y66" i="1"/>
  <c r="W67" i="1"/>
  <c r="AT88" i="1"/>
  <c r="AI88" i="1"/>
  <c r="AJ89" i="1"/>
  <c r="AB88" i="1"/>
  <c r="AA88" i="1"/>
  <c r="AF88" i="1" s="1"/>
  <c r="AT89" i="1" l="1"/>
  <c r="AB89" i="1"/>
  <c r="AJ90" i="1"/>
  <c r="AI89" i="1"/>
  <c r="AA89" i="1"/>
  <c r="AF89" i="1" s="1"/>
  <c r="Y67" i="1"/>
  <c r="W68" i="1"/>
  <c r="X67" i="1"/>
  <c r="X68" i="1" l="1"/>
  <c r="W69" i="1"/>
  <c r="Y68" i="1"/>
  <c r="AT90" i="1"/>
  <c r="AA90" i="1"/>
  <c r="AF90" i="1" s="1"/>
  <c r="AI90" i="1"/>
  <c r="AJ91" i="1"/>
  <c r="AB90" i="1"/>
  <c r="AT91" i="1" l="1"/>
  <c r="AA91" i="1"/>
  <c r="AF91" i="1" s="1"/>
  <c r="AJ92" i="1"/>
  <c r="AB91" i="1"/>
  <c r="AI91" i="1"/>
  <c r="X69" i="1"/>
  <c r="W70" i="1"/>
  <c r="Y69" i="1"/>
  <c r="W71" i="1" l="1"/>
  <c r="Y70" i="1"/>
  <c r="X70" i="1"/>
  <c r="AT92" i="1"/>
  <c r="AA92" i="1"/>
  <c r="AF92" i="1" s="1"/>
  <c r="AJ93" i="1"/>
  <c r="AB92" i="1"/>
  <c r="AI92" i="1"/>
  <c r="Y13" i="1"/>
  <c r="AT93" i="1" l="1"/>
  <c r="AI93" i="1"/>
  <c r="AJ94" i="1"/>
  <c r="AB93" i="1"/>
  <c r="AA93" i="1"/>
  <c r="AF93" i="1" s="1"/>
  <c r="W72" i="1"/>
  <c r="X71" i="1"/>
  <c r="Y71" i="1"/>
  <c r="Y14" i="1"/>
  <c r="X72" i="1" l="1"/>
  <c r="W73" i="1"/>
  <c r="Y72" i="1"/>
  <c r="AT94" i="1"/>
  <c r="AJ95" i="1"/>
  <c r="AI94" i="1"/>
  <c r="AA94" i="1"/>
  <c r="AF94" i="1" s="1"/>
  <c r="AB94" i="1"/>
  <c r="Y15" i="1"/>
  <c r="AT95" i="1" l="1"/>
  <c r="AA95" i="1"/>
  <c r="AF95" i="1" s="1"/>
  <c r="AJ96" i="1"/>
  <c r="AB95" i="1"/>
  <c r="AI95" i="1"/>
  <c r="W74" i="1"/>
  <c r="X73" i="1"/>
  <c r="Y73" i="1"/>
  <c r="X74" i="1" l="1"/>
  <c r="W75" i="1"/>
  <c r="Y74" i="1"/>
  <c r="AT96" i="1"/>
  <c r="AA96" i="1"/>
  <c r="AF96" i="1" s="1"/>
  <c r="AI96" i="1"/>
  <c r="AJ97" i="1"/>
  <c r="AB96" i="1"/>
  <c r="AT97" i="1" l="1"/>
  <c r="AA97" i="1"/>
  <c r="AF97" i="1" s="1"/>
  <c r="AJ98" i="1"/>
  <c r="AI97" i="1"/>
  <c r="AB97" i="1"/>
  <c r="Y75" i="1"/>
  <c r="X75" i="1"/>
  <c r="W76" i="1"/>
  <c r="AT98" i="1" l="1"/>
  <c r="AA98" i="1"/>
  <c r="AF98" i="1" s="1"/>
  <c r="AJ99" i="1"/>
  <c r="AB98" i="1"/>
  <c r="AI98" i="1"/>
  <c r="X76" i="1"/>
  <c r="Y76" i="1"/>
  <c r="W77" i="1"/>
  <c r="AT99" i="1" l="1"/>
  <c r="AA99" i="1"/>
  <c r="AF99" i="1" s="1"/>
  <c r="AJ100" i="1"/>
  <c r="AB99" i="1"/>
  <c r="AI99" i="1"/>
  <c r="Y77" i="1"/>
  <c r="X77" i="1"/>
  <c r="W78" i="1"/>
  <c r="X16" i="1"/>
  <c r="AT100" i="1" l="1"/>
  <c r="AB100" i="1"/>
  <c r="AA100" i="1"/>
  <c r="AF100" i="1" s="1"/>
  <c r="AJ101" i="1"/>
  <c r="AI100" i="1"/>
  <c r="Y78" i="1"/>
  <c r="X78" i="1"/>
  <c r="W79" i="1"/>
  <c r="X17" i="1"/>
  <c r="Y16" i="1"/>
  <c r="AT101" i="1" l="1"/>
  <c r="AA101" i="1"/>
  <c r="AF101" i="1" s="1"/>
  <c r="AI101" i="1"/>
  <c r="AJ102" i="1"/>
  <c r="AB101" i="1"/>
  <c r="Y79" i="1"/>
  <c r="W80" i="1"/>
  <c r="X79" i="1"/>
  <c r="X18" i="1"/>
  <c r="Y17" i="1"/>
  <c r="AT102" i="1" l="1"/>
  <c r="AB102" i="1"/>
  <c r="AA102" i="1"/>
  <c r="AF102" i="1" s="1"/>
  <c r="AJ103" i="1"/>
  <c r="AI102" i="1"/>
  <c r="W81" i="1"/>
  <c r="X80" i="1"/>
  <c r="Y80" i="1"/>
  <c r="Y18" i="1"/>
  <c r="X19" i="1"/>
  <c r="Y81" i="1" l="1"/>
  <c r="X81" i="1"/>
  <c r="W82" i="1"/>
  <c r="AT103" i="1"/>
  <c r="AB103" i="1"/>
  <c r="AI103" i="1"/>
  <c r="AJ104" i="1"/>
  <c r="AA103" i="1"/>
  <c r="AF103" i="1" s="1"/>
  <c r="Y19" i="1"/>
  <c r="X20" i="1"/>
  <c r="AT104" i="1" l="1"/>
  <c r="AI104" i="1"/>
  <c r="AJ105" i="1"/>
  <c r="AB104" i="1"/>
  <c r="AA104" i="1"/>
  <c r="AF104" i="1" s="1"/>
  <c r="X82" i="1"/>
  <c r="W83" i="1"/>
  <c r="Y82" i="1"/>
  <c r="Y20" i="1"/>
  <c r="X21" i="1"/>
  <c r="AT105" i="1" l="1"/>
  <c r="AI105" i="1"/>
  <c r="AB105" i="1"/>
  <c r="AJ106" i="1"/>
  <c r="AA105" i="1"/>
  <c r="AF105" i="1" s="1"/>
  <c r="W84" i="1"/>
  <c r="Y83" i="1"/>
  <c r="X83" i="1"/>
  <c r="Y21" i="1"/>
  <c r="X22" i="1"/>
  <c r="X84" i="1" l="1"/>
  <c r="W85" i="1"/>
  <c r="Y84" i="1"/>
  <c r="AT106" i="1"/>
  <c r="AI106" i="1"/>
  <c r="AJ107" i="1"/>
  <c r="AB106" i="1"/>
  <c r="AA106" i="1"/>
  <c r="AF106" i="1" s="1"/>
  <c r="Y22" i="1"/>
  <c r="X23" i="1"/>
  <c r="AT107" i="1" l="1"/>
  <c r="AJ108" i="1"/>
  <c r="AI107" i="1"/>
  <c r="AB107" i="1"/>
  <c r="AA107" i="1"/>
  <c r="AF107" i="1" s="1"/>
  <c r="X85" i="1"/>
  <c r="W86" i="1"/>
  <c r="Y85" i="1"/>
  <c r="Y23" i="1"/>
  <c r="X24" i="1"/>
  <c r="X86" i="1" l="1"/>
  <c r="W87" i="1"/>
  <c r="Y86" i="1"/>
  <c r="AT108" i="1"/>
  <c r="AA108" i="1"/>
  <c r="AF108" i="1" s="1"/>
  <c r="AI108" i="1"/>
  <c r="AJ109" i="1"/>
  <c r="AB108" i="1"/>
  <c r="Y24" i="1"/>
  <c r="X25" i="1"/>
  <c r="AT109" i="1" l="1"/>
  <c r="AA109" i="1"/>
  <c r="AF109" i="1" s="1"/>
  <c r="AB109" i="1"/>
  <c r="AI109" i="1"/>
  <c r="AJ110" i="1"/>
  <c r="X87" i="1"/>
  <c r="W88" i="1"/>
  <c r="Y87" i="1"/>
  <c r="Y25" i="1"/>
  <c r="X26" i="1"/>
  <c r="Y88" i="1" l="1"/>
  <c r="W89" i="1"/>
  <c r="X88" i="1"/>
  <c r="AT110" i="1"/>
  <c r="AB110" i="1"/>
  <c r="AA110" i="1"/>
  <c r="AF110" i="1" s="1"/>
  <c r="AJ111" i="1"/>
  <c r="AI110" i="1"/>
  <c r="Y26" i="1"/>
  <c r="X27" i="1"/>
  <c r="AT111" i="1" l="1"/>
  <c r="AI111" i="1"/>
  <c r="AJ112" i="1"/>
  <c r="AB111" i="1"/>
  <c r="AA111" i="1"/>
  <c r="AF111" i="1" s="1"/>
  <c r="X89" i="1"/>
  <c r="W90" i="1"/>
  <c r="Y89" i="1"/>
  <c r="Y27" i="1"/>
  <c r="X28" i="1"/>
  <c r="X90" i="1" l="1"/>
  <c r="W91" i="1"/>
  <c r="Y90" i="1"/>
  <c r="AT112" i="1"/>
  <c r="AA112" i="1"/>
  <c r="AF112" i="1" s="1"/>
  <c r="AI112" i="1"/>
  <c r="AJ113" i="1"/>
  <c r="AB112" i="1"/>
  <c r="Y28" i="1"/>
  <c r="X29" i="1"/>
  <c r="AT113" i="1" l="1"/>
  <c r="AB113" i="1"/>
  <c r="AJ114" i="1"/>
  <c r="AI113" i="1"/>
  <c r="AA113" i="1"/>
  <c r="AF113" i="1" s="1"/>
  <c r="Y91" i="1"/>
  <c r="X91" i="1"/>
  <c r="W92" i="1"/>
  <c r="Y29" i="1"/>
  <c r="X30" i="1"/>
  <c r="AT114" i="1" l="1"/>
  <c r="AI114" i="1"/>
  <c r="AJ115" i="1"/>
  <c r="AB114" i="1"/>
  <c r="AA114" i="1"/>
  <c r="AF114" i="1" s="1"/>
  <c r="Y92" i="1"/>
  <c r="W93" i="1"/>
  <c r="X92" i="1"/>
  <c r="Y30" i="1"/>
  <c r="X31" i="1"/>
  <c r="Y93" i="1" l="1"/>
  <c r="W94" i="1"/>
  <c r="X93" i="1"/>
  <c r="AT115" i="1"/>
  <c r="AA115" i="1"/>
  <c r="AF115" i="1" s="1"/>
  <c r="AJ116" i="1"/>
  <c r="AI115" i="1"/>
  <c r="AB115" i="1"/>
  <c r="Y31" i="1"/>
  <c r="X32" i="1"/>
  <c r="AT116" i="1" l="1"/>
  <c r="AJ117" i="1"/>
  <c r="AB116" i="1"/>
  <c r="AI116" i="1"/>
  <c r="AA116" i="1"/>
  <c r="AF116" i="1" s="1"/>
  <c r="X94" i="1"/>
  <c r="W95" i="1"/>
  <c r="Y94" i="1"/>
  <c r="Y32" i="1"/>
  <c r="X33" i="1"/>
  <c r="W96" i="1" l="1"/>
  <c r="Y95" i="1"/>
  <c r="X95" i="1"/>
  <c r="AT117" i="1"/>
  <c r="AA117" i="1"/>
  <c r="AF117" i="1" s="1"/>
  <c r="AI117" i="1"/>
  <c r="AB117" i="1"/>
  <c r="AJ118" i="1"/>
  <c r="Y33" i="1"/>
  <c r="X34" i="1"/>
  <c r="AT118" i="1" l="1"/>
  <c r="AA118" i="1"/>
  <c r="AF118" i="1" s="1"/>
  <c r="AJ119" i="1"/>
  <c r="AI118" i="1"/>
  <c r="AB118" i="1"/>
  <c r="W97" i="1"/>
  <c r="Y96" i="1"/>
  <c r="X96" i="1"/>
  <c r="Y34" i="1"/>
  <c r="X35" i="1"/>
  <c r="X97" i="1" l="1"/>
  <c r="W98" i="1"/>
  <c r="Y97" i="1"/>
  <c r="AT119" i="1"/>
  <c r="AI119" i="1"/>
  <c r="AJ120" i="1"/>
  <c r="AA119" i="1"/>
  <c r="AF119" i="1" s="1"/>
  <c r="AB119" i="1"/>
  <c r="Y35" i="1"/>
  <c r="X36" i="1"/>
  <c r="AT120" i="1" l="1"/>
  <c r="AA120" i="1"/>
  <c r="AF120" i="1" s="1"/>
  <c r="AB120" i="1"/>
  <c r="AI120" i="1"/>
  <c r="AJ121" i="1"/>
  <c r="Y98" i="1"/>
  <c r="W99" i="1"/>
  <c r="X98" i="1"/>
  <c r="Y36" i="1"/>
  <c r="X37" i="1"/>
  <c r="W100" i="1" l="1"/>
  <c r="Y99" i="1"/>
  <c r="X99" i="1"/>
  <c r="AT121" i="1"/>
  <c r="AB121" i="1"/>
  <c r="AI121" i="1"/>
  <c r="AJ122" i="1"/>
  <c r="AA121" i="1"/>
  <c r="AF121" i="1" s="1"/>
  <c r="Y37" i="1"/>
  <c r="X38" i="1"/>
  <c r="AT122" i="1" l="1"/>
  <c r="AI122" i="1"/>
  <c r="AJ123" i="1"/>
  <c r="AA122" i="1"/>
  <c r="AF122" i="1" s="1"/>
  <c r="AB122" i="1"/>
  <c r="Y100" i="1"/>
  <c r="X100" i="1"/>
  <c r="W101" i="1"/>
  <c r="X39" i="1"/>
  <c r="Y38" i="1"/>
  <c r="AT123" i="1" l="1"/>
  <c r="AA123" i="1"/>
  <c r="AF123" i="1" s="1"/>
  <c r="AI123" i="1"/>
  <c r="AJ124" i="1"/>
  <c r="AB123" i="1"/>
  <c r="W102" i="1"/>
  <c r="Y101" i="1"/>
  <c r="X101" i="1"/>
  <c r="Y39" i="1"/>
  <c r="X40" i="1"/>
  <c r="W103" i="1" l="1"/>
  <c r="X102" i="1"/>
  <c r="Y102" i="1"/>
  <c r="AT124" i="1"/>
  <c r="AJ125" i="1"/>
  <c r="AI124" i="1"/>
  <c r="AB124" i="1"/>
  <c r="AA124" i="1"/>
  <c r="AF124" i="1" s="1"/>
  <c r="Y40" i="1"/>
  <c r="X41" i="1"/>
  <c r="AT125" i="1" l="1"/>
  <c r="AA125" i="1"/>
  <c r="AF125" i="1" s="1"/>
  <c r="AI125" i="1"/>
  <c r="AB125" i="1"/>
  <c r="AJ126" i="1"/>
  <c r="Y103" i="1"/>
  <c r="X103" i="1"/>
  <c r="W104" i="1"/>
  <c r="Y41" i="1"/>
  <c r="X42" i="1"/>
  <c r="AT126" i="1" l="1"/>
  <c r="AI126" i="1"/>
  <c r="AB126" i="1"/>
  <c r="AA126" i="1"/>
  <c r="AF126" i="1" s="1"/>
  <c r="W105" i="1"/>
  <c r="X104" i="1"/>
  <c r="Y104" i="1"/>
  <c r="Y42" i="1"/>
  <c r="X43" i="1"/>
  <c r="AR7" i="1"/>
  <c r="X105" i="1" l="1"/>
  <c r="W106" i="1"/>
  <c r="Y105" i="1"/>
  <c r="D15" i="1"/>
  <c r="AS7" i="1"/>
  <c r="Y43" i="1"/>
  <c r="X44" i="1"/>
  <c r="AL7" i="1" l="1"/>
  <c r="AO7" i="1"/>
  <c r="J53" i="1"/>
  <c r="J61" i="1"/>
  <c r="J13" i="1"/>
  <c r="J38" i="1"/>
  <c r="J7" i="1"/>
  <c r="J19" i="1"/>
  <c r="J40" i="1"/>
  <c r="J20" i="1"/>
  <c r="J23" i="1"/>
  <c r="J18" i="1"/>
  <c r="J54" i="1"/>
  <c r="J62" i="1"/>
  <c r="J21" i="1"/>
  <c r="J46" i="1"/>
  <c r="J15" i="1"/>
  <c r="J35" i="1"/>
  <c r="J28" i="1"/>
  <c r="J12" i="1"/>
  <c r="J48" i="1"/>
  <c r="J55" i="1"/>
  <c r="J63" i="1"/>
  <c r="J29" i="1"/>
  <c r="J10" i="1"/>
  <c r="J41" i="1"/>
  <c r="J47" i="1"/>
  <c r="J56" i="1"/>
  <c r="J64" i="1"/>
  <c r="J37" i="1"/>
  <c r="J26" i="1"/>
  <c r="J31" i="1"/>
  <c r="J39" i="1"/>
  <c r="J49" i="1"/>
  <c r="J57" i="1"/>
  <c r="J65" i="1"/>
  <c r="J8" i="1"/>
  <c r="J50" i="1"/>
  <c r="J58" i="1"/>
  <c r="J66" i="1"/>
  <c r="J14" i="1"/>
  <c r="J11" i="1"/>
  <c r="J17" i="1"/>
  <c r="J16" i="1"/>
  <c r="J34" i="1"/>
  <c r="J33" i="1"/>
  <c r="J51" i="1"/>
  <c r="J59" i="1"/>
  <c r="J22" i="1"/>
  <c r="J27" i="1"/>
  <c r="J24" i="1"/>
  <c r="J45" i="1"/>
  <c r="J52" i="1"/>
  <c r="J60" i="1"/>
  <c r="J30" i="1"/>
  <c r="J36" i="1"/>
  <c r="J42" i="1"/>
  <c r="J32" i="1"/>
  <c r="J43" i="1"/>
  <c r="J9" i="1"/>
  <c r="J44" i="1"/>
  <c r="J2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X106" i="1"/>
  <c r="W107" i="1"/>
  <c r="Y106" i="1"/>
  <c r="Y44" i="1"/>
  <c r="X45" i="1"/>
  <c r="Y107" i="1" l="1"/>
  <c r="X107" i="1"/>
  <c r="W108" i="1"/>
  <c r="AN8" i="1"/>
  <c r="AK8" i="1"/>
  <c r="X46" i="1"/>
  <c r="Y45" i="1"/>
  <c r="AC8" i="1" l="1"/>
  <c r="AL8" i="1"/>
  <c r="AK9" i="1" s="1"/>
  <c r="AC9" i="1" s="1"/>
  <c r="AO8" i="1"/>
  <c r="AN9" i="1" s="1"/>
  <c r="AO9" i="1" s="1"/>
  <c r="AN10" i="1" s="1"/>
  <c r="Y108" i="1"/>
  <c r="X108" i="1"/>
  <c r="W109" i="1"/>
  <c r="Y46" i="1"/>
  <c r="AO10" i="1" l="1"/>
  <c r="AN11" i="1" s="1"/>
  <c r="AL9" i="1"/>
  <c r="AK10" i="1" s="1"/>
  <c r="AD9" i="1"/>
  <c r="AM9" i="1" s="1"/>
  <c r="AE9" i="1"/>
  <c r="AP9" i="1" s="1"/>
  <c r="W110" i="1"/>
  <c r="Y109" i="1"/>
  <c r="X109" i="1"/>
  <c r="AD8" i="1"/>
  <c r="AM8" i="1" s="1"/>
  <c r="AE8" i="1"/>
  <c r="AP8" i="1" s="1"/>
  <c r="AR8" i="1" l="1"/>
  <c r="AS8" i="1" s="1"/>
  <c r="Y110" i="1"/>
  <c r="X110" i="1"/>
  <c r="W111" i="1"/>
  <c r="AO11" i="1"/>
  <c r="AN12" i="1" s="1"/>
  <c r="AO12" i="1" s="1"/>
  <c r="AN13" i="1" s="1"/>
  <c r="AO13" i="1" s="1"/>
  <c r="AN14" i="1" s="1"/>
  <c r="AO14" i="1" s="1"/>
  <c r="AN15" i="1" s="1"/>
  <c r="AR9" i="1"/>
  <c r="AS9" i="1" s="1"/>
  <c r="AC10" i="1"/>
  <c r="AL10" i="1"/>
  <c r="AK11" i="1" s="1"/>
  <c r="AC11" i="1" s="1"/>
  <c r="AO15" i="1" l="1"/>
  <c r="AN16" i="1" s="1"/>
  <c r="AL11" i="1"/>
  <c r="AK12" i="1" s="1"/>
  <c r="AD11" i="1"/>
  <c r="AM11" i="1" s="1"/>
  <c r="AE11" i="1"/>
  <c r="AP11" i="1" s="1"/>
  <c r="Y111" i="1"/>
  <c r="W112" i="1"/>
  <c r="X111" i="1"/>
  <c r="AD10" i="1"/>
  <c r="AM10" i="1" s="1"/>
  <c r="AE10" i="1"/>
  <c r="AP10" i="1" s="1"/>
  <c r="AO16" i="1"/>
  <c r="AN17" i="1" s="1"/>
  <c r="AO17" i="1" l="1"/>
  <c r="AN18" i="1" s="1"/>
  <c r="AO18" i="1" s="1"/>
  <c r="AN19" i="1" s="1"/>
  <c r="AO19" i="1" s="1"/>
  <c r="AN20" i="1" s="1"/>
  <c r="AO20" i="1" s="1"/>
  <c r="AN21" i="1" s="1"/>
  <c r="AO21" i="1" s="1"/>
  <c r="AN22" i="1" s="1"/>
  <c r="AO22" i="1" s="1"/>
  <c r="AN23" i="1" s="1"/>
  <c r="AO23" i="1" s="1"/>
  <c r="AN24" i="1" s="1"/>
  <c r="AR10" i="1"/>
  <c r="AS10" i="1" s="1"/>
  <c r="Y112" i="1"/>
  <c r="X112" i="1"/>
  <c r="W113" i="1"/>
  <c r="AR11" i="1"/>
  <c r="AS11" i="1" s="1"/>
  <c r="AC12" i="1"/>
  <c r="AL12" i="1"/>
  <c r="AK13" i="1" s="1"/>
  <c r="AC13" i="1" l="1"/>
  <c r="AL13" i="1"/>
  <c r="AK14" i="1" s="1"/>
  <c r="AD12" i="1"/>
  <c r="AM12" i="1" s="1"/>
  <c r="AE12" i="1"/>
  <c r="AP12" i="1" s="1"/>
  <c r="X113" i="1"/>
  <c r="W114" i="1"/>
  <c r="Y113" i="1"/>
  <c r="AO24" i="1"/>
  <c r="AN25" i="1" s="1"/>
  <c r="AO25" i="1" s="1"/>
  <c r="AN26" i="1" s="1"/>
  <c r="AO26" i="1" s="1"/>
  <c r="AN27" i="1" s="1"/>
  <c r="AO27" i="1" s="1"/>
  <c r="AN28" i="1" s="1"/>
  <c r="AO28" i="1" s="1"/>
  <c r="AN29" i="1" s="1"/>
  <c r="AO29" i="1" s="1"/>
  <c r="AN30" i="1" s="1"/>
  <c r="AO30" i="1" s="1"/>
  <c r="AN31" i="1" s="1"/>
  <c r="AO31" i="1" s="1"/>
  <c r="AN32" i="1" s="1"/>
  <c r="AO32" i="1" s="1"/>
  <c r="AN33" i="1" s="1"/>
  <c r="AO33" i="1" s="1"/>
  <c r="AN34" i="1" s="1"/>
  <c r="AO34" i="1" s="1"/>
  <c r="AN35" i="1" s="1"/>
  <c r="AO35" i="1" s="1"/>
  <c r="AN36" i="1" s="1"/>
  <c r="AO36" i="1" s="1"/>
  <c r="AN37" i="1" s="1"/>
  <c r="AO37" i="1" s="1"/>
  <c r="AN38" i="1" s="1"/>
  <c r="AO38" i="1" s="1"/>
  <c r="AN39" i="1" s="1"/>
  <c r="AO39" i="1" s="1"/>
  <c r="AN40" i="1" s="1"/>
  <c r="AO40" i="1" s="1"/>
  <c r="AN41" i="1" s="1"/>
  <c r="AR12" i="1" l="1"/>
  <c r="AS12" i="1" s="1"/>
  <c r="Y114" i="1"/>
  <c r="W115" i="1"/>
  <c r="X114" i="1"/>
  <c r="AC14" i="1"/>
  <c r="AP41" i="1"/>
  <c r="AO41" i="1"/>
  <c r="AN42" i="1" s="1"/>
  <c r="AO42" i="1" s="1"/>
  <c r="AN43" i="1" s="1"/>
  <c r="AO43" i="1" s="1"/>
  <c r="AN44" i="1" s="1"/>
  <c r="AL14" i="1"/>
  <c r="AK15" i="1" s="1"/>
  <c r="AD13" i="1"/>
  <c r="AM13" i="1" s="1"/>
  <c r="AE13" i="1"/>
  <c r="AP13" i="1" s="1"/>
  <c r="AC15" i="1" l="1"/>
  <c r="AL15" i="1"/>
  <c r="AK16" i="1" s="1"/>
  <c r="AP44" i="1"/>
  <c r="AO44" i="1"/>
  <c r="AN45" i="1" s="1"/>
  <c r="AO45" i="1" s="1"/>
  <c r="AN46" i="1" s="1"/>
  <c r="AO46" i="1" s="1"/>
  <c r="AN47" i="1" s="1"/>
  <c r="AD14" i="1"/>
  <c r="AM14" i="1" s="1"/>
  <c r="AE14" i="1"/>
  <c r="AP14" i="1" s="1"/>
  <c r="X115" i="1"/>
  <c r="W116" i="1"/>
  <c r="Y115" i="1"/>
  <c r="AR13" i="1"/>
  <c r="AS13" i="1" s="1"/>
  <c r="AR14" i="1" l="1"/>
  <c r="AS14" i="1" s="1"/>
  <c r="AP47" i="1"/>
  <c r="AO47" i="1"/>
  <c r="AN48" i="1" s="1"/>
  <c r="AO48" i="1" s="1"/>
  <c r="AN49" i="1" s="1"/>
  <c r="AO49" i="1" s="1"/>
  <c r="AN50" i="1" s="1"/>
  <c r="AO50" i="1" s="1"/>
  <c r="AN51" i="1" s="1"/>
  <c r="AO51" i="1" s="1"/>
  <c r="AN52" i="1" s="1"/>
  <c r="AO52" i="1" s="1"/>
  <c r="AN53" i="1" s="1"/>
  <c r="AO53" i="1" s="1"/>
  <c r="AN54" i="1" s="1"/>
  <c r="AO54" i="1" s="1"/>
  <c r="AN55" i="1" s="1"/>
  <c r="AO55" i="1" s="1"/>
  <c r="AN56" i="1" s="1"/>
  <c r="AO56" i="1" s="1"/>
  <c r="AN57" i="1" s="1"/>
  <c r="AO57" i="1" s="1"/>
  <c r="AN58" i="1" s="1"/>
  <c r="AO58" i="1" s="1"/>
  <c r="AN59" i="1" s="1"/>
  <c r="AO59" i="1" s="1"/>
  <c r="AN60" i="1" s="1"/>
  <c r="AO60" i="1" s="1"/>
  <c r="AN61" i="1" s="1"/>
  <c r="AO61" i="1" s="1"/>
  <c r="AN62" i="1" s="1"/>
  <c r="AO62" i="1" s="1"/>
  <c r="AN63" i="1" s="1"/>
  <c r="AO63" i="1" s="1"/>
  <c r="AN64" i="1" s="1"/>
  <c r="AO64" i="1" s="1"/>
  <c r="AN65" i="1" s="1"/>
  <c r="AO65" i="1" s="1"/>
  <c r="AN66" i="1" s="1"/>
  <c r="AO66" i="1" s="1"/>
  <c r="AN67" i="1" s="1"/>
  <c r="AO67" i="1" s="1"/>
  <c r="AN68" i="1" s="1"/>
  <c r="AO68" i="1" s="1"/>
  <c r="AN69" i="1" s="1"/>
  <c r="AO69" i="1" s="1"/>
  <c r="AN70" i="1" s="1"/>
  <c r="AO70" i="1" s="1"/>
  <c r="AN71" i="1" s="1"/>
  <c r="AO71" i="1" s="1"/>
  <c r="AN72" i="1" s="1"/>
  <c r="AO72" i="1" s="1"/>
  <c r="AN73" i="1" s="1"/>
  <c r="AO73" i="1" s="1"/>
  <c r="AN74" i="1" s="1"/>
  <c r="AO74" i="1" s="1"/>
  <c r="AN75" i="1" s="1"/>
  <c r="AO75" i="1" s="1"/>
  <c r="AN76" i="1" s="1"/>
  <c r="AO76" i="1" s="1"/>
  <c r="AN77" i="1" s="1"/>
  <c r="AO77" i="1" s="1"/>
  <c r="AN78" i="1" s="1"/>
  <c r="AO78" i="1" s="1"/>
  <c r="AN79" i="1" s="1"/>
  <c r="AO79" i="1" s="1"/>
  <c r="AN80" i="1" s="1"/>
  <c r="AO80" i="1" s="1"/>
  <c r="AN81" i="1" s="1"/>
  <c r="AO81" i="1" s="1"/>
  <c r="AN82" i="1" s="1"/>
  <c r="AO82" i="1" s="1"/>
  <c r="AN83" i="1" s="1"/>
  <c r="AO83" i="1" s="1"/>
  <c r="AN84" i="1" s="1"/>
  <c r="AO84" i="1" s="1"/>
  <c r="AN85" i="1" s="1"/>
  <c r="AO85" i="1" s="1"/>
  <c r="AN86" i="1" s="1"/>
  <c r="AO86" i="1" s="1"/>
  <c r="AN87" i="1" s="1"/>
  <c r="AO87" i="1" s="1"/>
  <c r="AN88" i="1" s="1"/>
  <c r="AO88" i="1" s="1"/>
  <c r="AN89" i="1" s="1"/>
  <c r="AO89" i="1" s="1"/>
  <c r="AN90" i="1" s="1"/>
  <c r="AO90" i="1" s="1"/>
  <c r="AN91" i="1" s="1"/>
  <c r="AO91" i="1" s="1"/>
  <c r="AN92" i="1" s="1"/>
  <c r="AO92" i="1" s="1"/>
  <c r="AN93" i="1" s="1"/>
  <c r="AO93" i="1" s="1"/>
  <c r="AN94" i="1" s="1"/>
  <c r="AO94" i="1" s="1"/>
  <c r="AN95" i="1" s="1"/>
  <c r="AO95" i="1" s="1"/>
  <c r="AN96" i="1" s="1"/>
  <c r="AO96" i="1" s="1"/>
  <c r="AN97" i="1" s="1"/>
  <c r="AO97" i="1" s="1"/>
  <c r="AN98" i="1" s="1"/>
  <c r="AO98" i="1" s="1"/>
  <c r="AN99" i="1" s="1"/>
  <c r="AO99" i="1" s="1"/>
  <c r="AN100" i="1" s="1"/>
  <c r="AO100" i="1" s="1"/>
  <c r="AN101" i="1" s="1"/>
  <c r="AO101" i="1" s="1"/>
  <c r="AN102" i="1" s="1"/>
  <c r="AO102" i="1" s="1"/>
  <c r="AN103" i="1" s="1"/>
  <c r="AO103" i="1" s="1"/>
  <c r="AN104" i="1" s="1"/>
  <c r="AO104" i="1" s="1"/>
  <c r="AN105" i="1" s="1"/>
  <c r="AO105" i="1" s="1"/>
  <c r="AN106" i="1" s="1"/>
  <c r="AO106" i="1" s="1"/>
  <c r="AN107" i="1" s="1"/>
  <c r="AO107" i="1" s="1"/>
  <c r="AN108" i="1" s="1"/>
  <c r="AO108" i="1" s="1"/>
  <c r="AN109" i="1" s="1"/>
  <c r="AO109" i="1" s="1"/>
  <c r="AN110" i="1" s="1"/>
  <c r="AO110" i="1" s="1"/>
  <c r="AN111" i="1" s="1"/>
  <c r="AO111" i="1" s="1"/>
  <c r="AN112" i="1" s="1"/>
  <c r="AO112" i="1" s="1"/>
  <c r="AN113" i="1" s="1"/>
  <c r="AO113" i="1" s="1"/>
  <c r="AN114" i="1" s="1"/>
  <c r="AO114" i="1" s="1"/>
  <c r="AN115" i="1" s="1"/>
  <c r="AO115" i="1" s="1"/>
  <c r="AN116" i="1" s="1"/>
  <c r="AO116" i="1" s="1"/>
  <c r="AN117" i="1" s="1"/>
  <c r="AO117" i="1" s="1"/>
  <c r="AN118" i="1" s="1"/>
  <c r="AO118" i="1" s="1"/>
  <c r="AN119" i="1" s="1"/>
  <c r="AO119" i="1" s="1"/>
  <c r="AN120" i="1" s="1"/>
  <c r="AO120" i="1" s="1"/>
  <c r="AN121" i="1" s="1"/>
  <c r="AO121" i="1" s="1"/>
  <c r="AN122" i="1" s="1"/>
  <c r="AO122" i="1" s="1"/>
  <c r="AN123" i="1" s="1"/>
  <c r="AO123" i="1" s="1"/>
  <c r="AN124" i="1" s="1"/>
  <c r="AO124" i="1" s="1"/>
  <c r="AN125" i="1" s="1"/>
  <c r="AO125" i="1" s="1"/>
  <c r="AN126" i="1" s="1"/>
  <c r="AO126" i="1" s="1"/>
  <c r="AO5" i="1" s="1"/>
  <c r="AL16" i="1"/>
  <c r="AK17" i="1" s="1"/>
  <c r="AC16" i="1"/>
  <c r="W117" i="1"/>
  <c r="Y116" i="1"/>
  <c r="X116" i="1"/>
  <c r="AD15" i="1"/>
  <c r="AM15" i="1" s="1"/>
  <c r="AE15" i="1"/>
  <c r="AP15" i="1" s="1"/>
  <c r="AR15" i="1" l="1"/>
  <c r="AS15" i="1" s="1"/>
  <c r="AL17" i="1"/>
  <c r="AK18" i="1" s="1"/>
  <c r="AC17" i="1"/>
  <c r="Y117" i="1"/>
  <c r="X117" i="1"/>
  <c r="W118" i="1"/>
  <c r="AD16" i="1"/>
  <c r="AM16" i="1" s="1"/>
  <c r="AE16" i="1"/>
  <c r="AP16" i="1" s="1"/>
  <c r="AL18" i="1" l="1"/>
  <c r="AK19" i="1" s="1"/>
  <c r="AC18" i="1"/>
  <c r="Y118" i="1"/>
  <c r="X118" i="1"/>
  <c r="W119" i="1"/>
  <c r="AD17" i="1"/>
  <c r="AM17" i="1" s="1"/>
  <c r="AE17" i="1"/>
  <c r="AP17" i="1" s="1"/>
  <c r="AR16" i="1"/>
  <c r="AS16" i="1" s="1"/>
  <c r="AR17" i="1" l="1"/>
  <c r="AS17" i="1" s="1"/>
  <c r="AL19" i="1"/>
  <c r="AK20" i="1" s="1"/>
  <c r="AC19" i="1"/>
  <c r="W120" i="1"/>
  <c r="Y119" i="1"/>
  <c r="X119" i="1"/>
  <c r="AD18" i="1"/>
  <c r="AM18" i="1" s="1"/>
  <c r="AE18" i="1"/>
  <c r="AP18" i="1" s="1"/>
  <c r="AR18" i="1" l="1"/>
  <c r="AS18" i="1" s="1"/>
  <c r="Y120" i="1"/>
  <c r="X120" i="1"/>
  <c r="W121" i="1"/>
  <c r="AD19" i="1"/>
  <c r="AM19" i="1" s="1"/>
  <c r="AE19" i="1"/>
  <c r="AP19" i="1" s="1"/>
  <c r="AL20" i="1"/>
  <c r="AK21" i="1" s="1"/>
  <c r="AC20" i="1"/>
  <c r="AR19" i="1" l="1"/>
  <c r="AS19" i="1" s="1"/>
  <c r="AL21" i="1"/>
  <c r="AK22" i="1" s="1"/>
  <c r="AC21" i="1"/>
  <c r="Y121" i="1"/>
  <c r="X121" i="1"/>
  <c r="W122" i="1"/>
  <c r="AD20" i="1"/>
  <c r="AM20" i="1" s="1"/>
  <c r="AE20" i="1"/>
  <c r="AP20" i="1" s="1"/>
  <c r="AR20" i="1" l="1"/>
  <c r="AS20" i="1" s="1"/>
  <c r="AL22" i="1"/>
  <c r="AK23" i="1" s="1"/>
  <c r="AC22" i="1"/>
  <c r="AD21" i="1"/>
  <c r="AM21" i="1" s="1"/>
  <c r="AE21" i="1"/>
  <c r="AP21" i="1" s="1"/>
  <c r="W123" i="1"/>
  <c r="Y122" i="1"/>
  <c r="X122" i="1"/>
  <c r="AL23" i="1" l="1"/>
  <c r="AK24" i="1" s="1"/>
  <c r="AC23" i="1"/>
  <c r="AR21" i="1"/>
  <c r="AS21" i="1" s="1"/>
  <c r="X123" i="1"/>
  <c r="W124" i="1"/>
  <c r="Y123" i="1"/>
  <c r="AD22" i="1"/>
  <c r="AM22" i="1" s="1"/>
  <c r="AE22" i="1"/>
  <c r="AP22" i="1" s="1"/>
  <c r="AR22" i="1" l="1"/>
  <c r="AS22" i="1" s="1"/>
  <c r="AL24" i="1"/>
  <c r="AK25" i="1" s="1"/>
  <c r="AC24" i="1"/>
  <c r="W125" i="1"/>
  <c r="Y124" i="1"/>
  <c r="X124" i="1"/>
  <c r="AD23" i="1"/>
  <c r="AM23" i="1" s="1"/>
  <c r="AE23" i="1"/>
  <c r="AP23" i="1" s="1"/>
  <c r="AR23" i="1" l="1"/>
  <c r="AS23" i="1" s="1"/>
  <c r="AL25" i="1"/>
  <c r="AK26" i="1" s="1"/>
  <c r="AC25" i="1"/>
  <c r="W126" i="1"/>
  <c r="Y125" i="1"/>
  <c r="X125" i="1"/>
  <c r="AD24" i="1"/>
  <c r="AM24" i="1" s="1"/>
  <c r="AE24" i="1"/>
  <c r="AP24" i="1" s="1"/>
  <c r="AL26" i="1" l="1"/>
  <c r="AK27" i="1" s="1"/>
  <c r="AC26" i="1"/>
  <c r="X126" i="1"/>
  <c r="X5" i="1" s="1"/>
  <c r="Y126" i="1"/>
  <c r="Y5" i="1" s="1"/>
  <c r="AD25" i="1"/>
  <c r="AM25" i="1" s="1"/>
  <c r="AE25" i="1"/>
  <c r="AP25" i="1" s="1"/>
  <c r="AR24" i="1"/>
  <c r="AS24" i="1" s="1"/>
  <c r="AR25" i="1" l="1"/>
  <c r="AS25" i="1" s="1"/>
  <c r="AL27" i="1"/>
  <c r="AK28" i="1" s="1"/>
  <c r="AC27" i="1"/>
  <c r="AD26" i="1"/>
  <c r="AM26" i="1" s="1"/>
  <c r="AE26" i="1"/>
  <c r="AP26" i="1" s="1"/>
  <c r="AL28" i="1" l="1"/>
  <c r="AK29" i="1" s="1"/>
  <c r="AC28" i="1"/>
  <c r="AR26" i="1"/>
  <c r="AS26" i="1" s="1"/>
  <c r="AD27" i="1"/>
  <c r="AM27" i="1" s="1"/>
  <c r="AE27" i="1"/>
  <c r="AP27" i="1" s="1"/>
  <c r="AL29" i="1" l="1"/>
  <c r="AK30" i="1" s="1"/>
  <c r="AC29" i="1"/>
  <c r="AR27" i="1"/>
  <c r="AS27" i="1" s="1"/>
  <c r="AD28" i="1"/>
  <c r="AM28" i="1" s="1"/>
  <c r="AE28" i="1"/>
  <c r="AP28" i="1" s="1"/>
  <c r="AL30" i="1" l="1"/>
  <c r="AK31" i="1" s="1"/>
  <c r="AC30" i="1"/>
  <c r="AR28" i="1"/>
  <c r="AS28" i="1" s="1"/>
  <c r="AD29" i="1"/>
  <c r="AM29" i="1" s="1"/>
  <c r="AE29" i="1"/>
  <c r="AP29" i="1" s="1"/>
  <c r="AR29" i="1" l="1"/>
  <c r="AS29" i="1" s="1"/>
  <c r="AL31" i="1"/>
  <c r="AK32" i="1" s="1"/>
  <c r="AC31" i="1"/>
  <c r="AD30" i="1"/>
  <c r="AM30" i="1" s="1"/>
  <c r="AE30" i="1"/>
  <c r="AP30" i="1" s="1"/>
  <c r="AL32" i="1" l="1"/>
  <c r="AK33" i="1" s="1"/>
  <c r="AC32" i="1"/>
  <c r="AR30" i="1"/>
  <c r="AS30" i="1" s="1"/>
  <c r="AD31" i="1"/>
  <c r="AM31" i="1" s="1"/>
  <c r="AE31" i="1"/>
  <c r="AP31" i="1" s="1"/>
  <c r="AR31" i="1" l="1"/>
  <c r="AS31" i="1" s="1"/>
  <c r="AD32" i="1"/>
  <c r="AM32" i="1" s="1"/>
  <c r="AE32" i="1"/>
  <c r="AP32" i="1" s="1"/>
  <c r="AL33" i="1"/>
  <c r="AK34" i="1" s="1"/>
  <c r="AC33" i="1"/>
  <c r="AR32" i="1" l="1"/>
  <c r="AS32" i="1" s="1"/>
  <c r="AL34" i="1"/>
  <c r="AK35" i="1" s="1"/>
  <c r="AC34" i="1"/>
  <c r="AD33" i="1"/>
  <c r="AM33" i="1" s="1"/>
  <c r="AE33" i="1"/>
  <c r="AP33" i="1" s="1"/>
  <c r="AR33" i="1" l="1"/>
  <c r="AS33" i="1" s="1"/>
  <c r="AL35" i="1"/>
  <c r="AK36" i="1" s="1"/>
  <c r="AC35" i="1"/>
  <c r="AD34" i="1"/>
  <c r="AM34" i="1" s="1"/>
  <c r="AE34" i="1"/>
  <c r="AP34" i="1" s="1"/>
  <c r="AR34" i="1" l="1"/>
  <c r="AS34" i="1" s="1"/>
  <c r="AL36" i="1"/>
  <c r="AK37" i="1" s="1"/>
  <c r="AC36" i="1"/>
  <c r="AD35" i="1"/>
  <c r="AM35" i="1" s="1"/>
  <c r="AE35" i="1"/>
  <c r="AP35" i="1" s="1"/>
  <c r="AL37" i="1" l="1"/>
  <c r="AK38" i="1" s="1"/>
  <c r="AC37" i="1"/>
  <c r="AR35" i="1"/>
  <c r="AS35" i="1" s="1"/>
  <c r="AD36" i="1"/>
  <c r="AM36" i="1" s="1"/>
  <c r="AE36" i="1"/>
  <c r="AP36" i="1" s="1"/>
  <c r="AL38" i="1" l="1"/>
  <c r="AK39" i="1" s="1"/>
  <c r="AC38" i="1"/>
  <c r="AR36" i="1"/>
  <c r="AS36" i="1" s="1"/>
  <c r="AE37" i="1"/>
  <c r="AP37" i="1" s="1"/>
  <c r="AD37" i="1"/>
  <c r="AM37" i="1" s="1"/>
  <c r="AR37" i="1" l="1"/>
  <c r="AS37" i="1" s="1"/>
  <c r="AL39" i="1"/>
  <c r="AK40" i="1" s="1"/>
  <c r="AC39" i="1"/>
  <c r="AE38" i="1"/>
  <c r="AP38" i="1" s="1"/>
  <c r="AD38" i="1"/>
  <c r="AM38" i="1" s="1"/>
  <c r="AR38" i="1" l="1"/>
  <c r="AS38" i="1" s="1"/>
  <c r="AL40" i="1"/>
  <c r="AK41" i="1" s="1"/>
  <c r="AC40" i="1"/>
  <c r="AM40" i="1"/>
  <c r="AE39" i="1"/>
  <c r="AP39" i="1" s="1"/>
  <c r="AD39" i="1"/>
  <c r="AM39" i="1" s="1"/>
  <c r="AR39" i="1" l="1"/>
  <c r="AS39" i="1" s="1"/>
  <c r="AL41" i="1"/>
  <c r="AK42" i="1" s="1"/>
  <c r="AC41" i="1"/>
  <c r="AD40" i="1"/>
  <c r="AE40" i="1"/>
  <c r="AP40" i="1" s="1"/>
  <c r="AR40" i="1" s="1"/>
  <c r="AS40" i="1" s="1"/>
  <c r="AL42" i="1" l="1"/>
  <c r="AK43" i="1" s="1"/>
  <c r="AC42" i="1"/>
  <c r="AE41" i="1"/>
  <c r="AD41" i="1"/>
  <c r="AM41" i="1" s="1"/>
  <c r="AR41" i="1" s="1"/>
  <c r="AS41" i="1" s="1"/>
  <c r="AL43" i="1" l="1"/>
  <c r="AK44" i="1" s="1"/>
  <c r="AC43" i="1"/>
  <c r="AM43" i="1"/>
  <c r="AD42" i="1"/>
  <c r="AM42" i="1" s="1"/>
  <c r="AE42" i="1"/>
  <c r="AP42" i="1" s="1"/>
  <c r="AL44" i="1" l="1"/>
  <c r="AK45" i="1" s="1"/>
  <c r="AC44" i="1"/>
  <c r="AR42" i="1"/>
  <c r="AS42" i="1" s="1"/>
  <c r="AD43" i="1"/>
  <c r="AE43" i="1"/>
  <c r="AP43" i="1" s="1"/>
  <c r="AR43" i="1" s="1"/>
  <c r="AS43" i="1" s="1"/>
  <c r="AL45" i="1" l="1"/>
  <c r="AK46" i="1" s="1"/>
  <c r="AC45" i="1"/>
  <c r="AD44" i="1"/>
  <c r="AM44" i="1" s="1"/>
  <c r="AR44" i="1" s="1"/>
  <c r="AS44" i="1" s="1"/>
  <c r="AE44" i="1"/>
  <c r="AL46" i="1" l="1"/>
  <c r="AK47" i="1" s="1"/>
  <c r="AC46" i="1"/>
  <c r="AD45" i="1"/>
  <c r="AM45" i="1" s="1"/>
  <c r="AE45" i="1"/>
  <c r="AP45" i="1" s="1"/>
  <c r="AR45" i="1" l="1"/>
  <c r="AS45" i="1" s="1"/>
  <c r="AL47" i="1"/>
  <c r="AK48" i="1" s="1"/>
  <c r="AC47" i="1"/>
  <c r="AD46" i="1"/>
  <c r="AM46" i="1" s="1"/>
  <c r="AE46" i="1"/>
  <c r="AP46" i="1" s="1"/>
  <c r="AL48" i="1" l="1"/>
  <c r="AK49" i="1" s="1"/>
  <c r="AC48" i="1"/>
  <c r="AR46" i="1"/>
  <c r="AS46" i="1" s="1"/>
  <c r="AE47" i="1"/>
  <c r="AD47" i="1"/>
  <c r="AM47" i="1" s="1"/>
  <c r="AR47" i="1" s="1"/>
  <c r="AS47" i="1" s="1"/>
  <c r="AE48" i="1" l="1"/>
  <c r="AP48" i="1" s="1"/>
  <c r="AD48" i="1"/>
  <c r="AM48" i="1" s="1"/>
  <c r="AL49" i="1"/>
  <c r="AK50" i="1" s="1"/>
  <c r="AC49" i="1"/>
  <c r="AL50" i="1" l="1"/>
  <c r="AK51" i="1" s="1"/>
  <c r="AC50" i="1"/>
  <c r="AE49" i="1"/>
  <c r="AP49" i="1" s="1"/>
  <c r="AD49" i="1"/>
  <c r="AM49" i="1" s="1"/>
  <c r="AR48" i="1"/>
  <c r="AS48" i="1" s="1"/>
  <c r="AR49" i="1" l="1"/>
  <c r="AS49" i="1" s="1"/>
  <c r="AL51" i="1"/>
  <c r="AK52" i="1" s="1"/>
  <c r="AC51" i="1"/>
  <c r="AE50" i="1"/>
  <c r="AP50" i="1" s="1"/>
  <c r="AD50" i="1"/>
  <c r="AM50" i="1" s="1"/>
  <c r="AR50" i="1" l="1"/>
  <c r="AS50" i="1" s="1"/>
  <c r="AL52" i="1"/>
  <c r="AK53" i="1" s="1"/>
  <c r="AC52" i="1"/>
  <c r="AE51" i="1"/>
  <c r="AP51" i="1" s="1"/>
  <c r="AD51" i="1"/>
  <c r="AM51" i="1" s="1"/>
  <c r="AR51" i="1" l="1"/>
  <c r="AS51" i="1" s="1"/>
  <c r="AL53" i="1"/>
  <c r="AK54" i="1" s="1"/>
  <c r="AC53" i="1"/>
  <c r="AE52" i="1"/>
  <c r="AP52" i="1" s="1"/>
  <c r="AD52" i="1"/>
  <c r="AM52" i="1" s="1"/>
  <c r="AR52" i="1" l="1"/>
  <c r="AS52" i="1" s="1"/>
  <c r="AL54" i="1"/>
  <c r="AK55" i="1" s="1"/>
  <c r="AC54" i="1"/>
  <c r="AE53" i="1"/>
  <c r="AP53" i="1" s="1"/>
  <c r="AD53" i="1"/>
  <c r="AM53" i="1" s="1"/>
  <c r="AR53" i="1" s="1"/>
  <c r="AS53" i="1" s="1"/>
  <c r="AL55" i="1" l="1"/>
  <c r="AK56" i="1" s="1"/>
  <c r="AC55" i="1"/>
  <c r="AE54" i="1"/>
  <c r="AP54" i="1" s="1"/>
  <c r="AD54" i="1"/>
  <c r="AM54" i="1" s="1"/>
  <c r="AR54" i="1" s="1"/>
  <c r="AS54" i="1" s="1"/>
  <c r="AL56" i="1" l="1"/>
  <c r="AK57" i="1" s="1"/>
  <c r="AC56" i="1"/>
  <c r="AE55" i="1"/>
  <c r="AP55" i="1" s="1"/>
  <c r="AD55" i="1"/>
  <c r="AM55" i="1" s="1"/>
  <c r="AR55" i="1" s="1"/>
  <c r="AS55" i="1" s="1"/>
  <c r="AL57" i="1" l="1"/>
  <c r="AK58" i="1" s="1"/>
  <c r="AC57" i="1"/>
  <c r="AE56" i="1"/>
  <c r="AP56" i="1" s="1"/>
  <c r="AD56" i="1"/>
  <c r="AM56" i="1" s="1"/>
  <c r="AR56" i="1" l="1"/>
  <c r="AS56" i="1" s="1"/>
  <c r="AL58" i="1"/>
  <c r="AK59" i="1" s="1"/>
  <c r="AC58" i="1"/>
  <c r="AE57" i="1"/>
  <c r="AP57" i="1" s="1"/>
  <c r="AD57" i="1"/>
  <c r="AM57" i="1" s="1"/>
  <c r="AR57" i="1" s="1"/>
  <c r="AS57" i="1" s="1"/>
  <c r="AL59" i="1" l="1"/>
  <c r="AK60" i="1" s="1"/>
  <c r="AC59" i="1"/>
  <c r="AE58" i="1"/>
  <c r="AP58" i="1" s="1"/>
  <c r="AD58" i="1"/>
  <c r="AM58" i="1" s="1"/>
  <c r="AR58" i="1" s="1"/>
  <c r="AS58" i="1" s="1"/>
  <c r="AL60" i="1" l="1"/>
  <c r="AK61" i="1" s="1"/>
  <c r="AC60" i="1"/>
  <c r="AE59" i="1"/>
  <c r="AP59" i="1" s="1"/>
  <c r="AD59" i="1"/>
  <c r="AM59" i="1" s="1"/>
  <c r="AR59" i="1" l="1"/>
  <c r="AS59" i="1" s="1"/>
  <c r="AL61" i="1"/>
  <c r="AK62" i="1" s="1"/>
  <c r="AC61" i="1"/>
  <c r="AE60" i="1"/>
  <c r="AP60" i="1" s="1"/>
  <c r="AD60" i="1"/>
  <c r="AM60" i="1" s="1"/>
  <c r="AR60" i="1" s="1"/>
  <c r="AS60" i="1" s="1"/>
  <c r="AL62" i="1" l="1"/>
  <c r="AK63" i="1" s="1"/>
  <c r="AC62" i="1"/>
  <c r="AE61" i="1"/>
  <c r="AP61" i="1" s="1"/>
  <c r="AD61" i="1"/>
  <c r="AM61" i="1" s="1"/>
  <c r="AR61" i="1" s="1"/>
  <c r="AS61" i="1" s="1"/>
  <c r="AL63" i="1" l="1"/>
  <c r="AK64" i="1" s="1"/>
  <c r="AC63" i="1"/>
  <c r="AE62" i="1"/>
  <c r="AP62" i="1" s="1"/>
  <c r="AD62" i="1"/>
  <c r="AM62" i="1" s="1"/>
  <c r="AR62" i="1" s="1"/>
  <c r="AS62" i="1" s="1"/>
  <c r="AL64" i="1" l="1"/>
  <c r="AK65" i="1" s="1"/>
  <c r="AC64" i="1"/>
  <c r="AE63" i="1"/>
  <c r="AP63" i="1" s="1"/>
  <c r="AD63" i="1"/>
  <c r="AM63" i="1" s="1"/>
  <c r="AR63" i="1" s="1"/>
  <c r="AS63" i="1" s="1"/>
  <c r="AL65" i="1" l="1"/>
  <c r="AK66" i="1" s="1"/>
  <c r="AC65" i="1"/>
  <c r="AE64" i="1"/>
  <c r="AP64" i="1" s="1"/>
  <c r="AD64" i="1"/>
  <c r="AM64" i="1" s="1"/>
  <c r="AP126" i="1"/>
  <c r="AL66" i="1" l="1"/>
  <c r="AK67" i="1" s="1"/>
  <c r="AC66" i="1"/>
  <c r="AR64" i="1"/>
  <c r="AS64" i="1" s="1"/>
  <c r="AE65" i="1"/>
  <c r="AD65" i="1"/>
  <c r="AM65" i="1" s="1"/>
  <c r="AL67" i="1" l="1"/>
  <c r="AK68" i="1" s="1"/>
  <c r="AC67" i="1"/>
  <c r="AP65" i="1"/>
  <c r="AE66" i="1"/>
  <c r="AP66" i="1" s="1"/>
  <c r="AD66" i="1"/>
  <c r="AM66" i="1" s="1"/>
  <c r="AL68" i="1" l="1"/>
  <c r="AK69" i="1" s="1"/>
  <c r="AC68" i="1"/>
  <c r="AR65" i="1"/>
  <c r="AE67" i="1"/>
  <c r="AD67" i="1"/>
  <c r="AM67" i="1" s="1"/>
  <c r="AR66" i="1"/>
  <c r="AS66" i="1" s="1"/>
  <c r="AL69" i="1" l="1"/>
  <c r="AK70" i="1" s="1"/>
  <c r="AC69" i="1"/>
  <c r="AP67" i="1"/>
  <c r="AS65" i="1"/>
  <c r="AE68" i="1"/>
  <c r="AP68" i="1" s="1"/>
  <c r="AD68" i="1"/>
  <c r="AM68" i="1" s="1"/>
  <c r="AL70" i="1" l="1"/>
  <c r="AK71" i="1" s="1"/>
  <c r="AC70" i="1"/>
  <c r="AE69" i="1"/>
  <c r="AP69" i="1" s="1"/>
  <c r="AD69" i="1"/>
  <c r="AM69" i="1" s="1"/>
  <c r="AR67" i="1"/>
  <c r="AR68" i="1"/>
  <c r="AS68" i="1" s="1"/>
  <c r="B13" i="17"/>
  <c r="B16" i="17" s="1"/>
  <c r="G22" i="1" s="1"/>
  <c r="AL71" i="1" l="1"/>
  <c r="AK72" i="1" s="1"/>
  <c r="AC71" i="1"/>
  <c r="AS67" i="1"/>
  <c r="AR69" i="1"/>
  <c r="AS69" i="1" s="1"/>
  <c r="AE70" i="1"/>
  <c r="AP70" i="1" s="1"/>
  <c r="AD70" i="1"/>
  <c r="AM70" i="1" s="1"/>
  <c r="G20" i="1"/>
  <c r="AR70" i="1" l="1"/>
  <c r="AS70" i="1" s="1"/>
  <c r="AL72" i="1"/>
  <c r="AK73" i="1" s="1"/>
  <c r="AC72" i="1"/>
  <c r="AE71" i="1"/>
  <c r="AD71" i="1"/>
  <c r="AM71" i="1" s="1"/>
  <c r="AL73" i="1" l="1"/>
  <c r="AK74" i="1" s="1"/>
  <c r="AC73" i="1"/>
  <c r="AE72" i="1"/>
  <c r="AP72" i="1" s="1"/>
  <c r="AD72" i="1"/>
  <c r="AM72" i="1" s="1"/>
  <c r="AP71" i="1"/>
  <c r="AR71" i="1" s="1"/>
  <c r="AR72" i="1" l="1"/>
  <c r="AS72" i="1" s="1"/>
  <c r="AS71" i="1"/>
  <c r="AL74" i="1"/>
  <c r="AK75" i="1" s="1"/>
  <c r="AC74" i="1"/>
  <c r="AE73" i="1"/>
  <c r="AP73" i="1" s="1"/>
  <c r="AD73" i="1"/>
  <c r="AM73" i="1" s="1"/>
  <c r="AR73" i="1" s="1"/>
  <c r="AS73" i="1" s="1"/>
  <c r="AL75" i="1" l="1"/>
  <c r="AK76" i="1" s="1"/>
  <c r="AC75" i="1"/>
  <c r="AE74" i="1"/>
  <c r="AP74" i="1" s="1"/>
  <c r="AD74" i="1"/>
  <c r="AM74" i="1" s="1"/>
  <c r="AR74" i="1" l="1"/>
  <c r="AS74" i="1" s="1"/>
  <c r="AL76" i="1"/>
  <c r="AK77" i="1" s="1"/>
  <c r="AC76" i="1"/>
  <c r="AE75" i="1"/>
  <c r="AP75" i="1" s="1"/>
  <c r="AD75" i="1"/>
  <c r="AM75" i="1" s="1"/>
  <c r="AL77" i="1" l="1"/>
  <c r="AK78" i="1" s="1"/>
  <c r="AC77" i="1"/>
  <c r="AR75" i="1"/>
  <c r="AS75" i="1" s="1"/>
  <c r="AE76" i="1"/>
  <c r="AP76" i="1" s="1"/>
  <c r="AD76" i="1"/>
  <c r="AM76" i="1" s="1"/>
  <c r="AR76" i="1" l="1"/>
  <c r="AS76" i="1" s="1"/>
  <c r="AL78" i="1"/>
  <c r="AK79" i="1" s="1"/>
  <c r="AC78" i="1"/>
  <c r="AE77" i="1"/>
  <c r="AP77" i="1" s="1"/>
  <c r="AD77" i="1"/>
  <c r="AM77" i="1" s="1"/>
  <c r="AR77" i="1" s="1"/>
  <c r="AS77" i="1" s="1"/>
  <c r="AL79" i="1" l="1"/>
  <c r="AK80" i="1" s="1"/>
  <c r="AC79" i="1"/>
  <c r="AE78" i="1"/>
  <c r="AP78" i="1" s="1"/>
  <c r="AD78" i="1"/>
  <c r="AM78" i="1" s="1"/>
  <c r="AR78" i="1" l="1"/>
  <c r="AS78" i="1" s="1"/>
  <c r="AL80" i="1"/>
  <c r="AK81" i="1" s="1"/>
  <c r="AC80" i="1"/>
  <c r="AE79" i="1"/>
  <c r="AP79" i="1" s="1"/>
  <c r="AD79" i="1"/>
  <c r="AM79" i="1" s="1"/>
  <c r="AR79" i="1" l="1"/>
  <c r="AS79" i="1" s="1"/>
  <c r="AL81" i="1"/>
  <c r="AK82" i="1" s="1"/>
  <c r="AC81" i="1"/>
  <c r="AE80" i="1"/>
  <c r="AP80" i="1" s="1"/>
  <c r="AD80" i="1"/>
  <c r="AM80" i="1" s="1"/>
  <c r="AL82" i="1" l="1"/>
  <c r="AK83" i="1" s="1"/>
  <c r="AC82" i="1"/>
  <c r="AR80" i="1"/>
  <c r="AS80" i="1" s="1"/>
  <c r="AD81" i="1"/>
  <c r="AM81" i="1" s="1"/>
  <c r="AE81" i="1"/>
  <c r="AP81" i="1" s="1"/>
  <c r="AL83" i="1" l="1"/>
  <c r="AK84" i="1" s="1"/>
  <c r="AC83" i="1"/>
  <c r="AR81" i="1"/>
  <c r="AS81" i="1" s="1"/>
  <c r="AE82" i="1"/>
  <c r="AP82" i="1" s="1"/>
  <c r="AD82" i="1"/>
  <c r="AM82" i="1" s="1"/>
  <c r="AR82" i="1" l="1"/>
  <c r="AS82" i="1" s="1"/>
  <c r="AL84" i="1"/>
  <c r="AK85" i="1" s="1"/>
  <c r="AC84" i="1"/>
  <c r="AE83" i="1"/>
  <c r="AP83" i="1" s="1"/>
  <c r="AD83" i="1"/>
  <c r="AM83" i="1" s="1"/>
  <c r="AL85" i="1" l="1"/>
  <c r="AK86" i="1" s="1"/>
  <c r="AC85" i="1"/>
  <c r="AR83" i="1"/>
  <c r="AS83" i="1" s="1"/>
  <c r="AE84" i="1"/>
  <c r="AP84" i="1" s="1"/>
  <c r="AD84" i="1"/>
  <c r="AM84" i="1" s="1"/>
  <c r="AR84" i="1" l="1"/>
  <c r="AS84" i="1" s="1"/>
  <c r="AL86" i="1"/>
  <c r="AK87" i="1" s="1"/>
  <c r="AC86" i="1"/>
  <c r="AE85" i="1"/>
  <c r="AP85" i="1" s="1"/>
  <c r="AD85" i="1"/>
  <c r="AM85" i="1" s="1"/>
  <c r="AR85" i="1" s="1"/>
  <c r="AS85" i="1" s="1"/>
  <c r="AL87" i="1" l="1"/>
  <c r="AK88" i="1" s="1"/>
  <c r="AC87" i="1"/>
  <c r="AE86" i="1"/>
  <c r="AP86" i="1" s="1"/>
  <c r="AD86" i="1"/>
  <c r="AM86" i="1" s="1"/>
  <c r="AR86" i="1" l="1"/>
  <c r="AS86" i="1" s="1"/>
  <c r="AL88" i="1"/>
  <c r="AK89" i="1" s="1"/>
  <c r="AC88" i="1"/>
  <c r="AE87" i="1"/>
  <c r="AP87" i="1" s="1"/>
  <c r="AD87" i="1"/>
  <c r="AM87" i="1" s="1"/>
  <c r="AR87" i="1" s="1"/>
  <c r="AS87" i="1" s="1"/>
  <c r="AL89" i="1" l="1"/>
  <c r="AK90" i="1" s="1"/>
  <c r="AC89" i="1"/>
  <c r="AE88" i="1"/>
  <c r="AP88" i="1" s="1"/>
  <c r="AD88" i="1"/>
  <c r="AM88" i="1" s="1"/>
  <c r="AR88" i="1" l="1"/>
  <c r="AS88" i="1" s="1"/>
  <c r="AL90" i="1"/>
  <c r="AK91" i="1" s="1"/>
  <c r="AC90" i="1"/>
  <c r="AE89" i="1"/>
  <c r="AP89" i="1" s="1"/>
  <c r="AD89" i="1"/>
  <c r="AM89" i="1" s="1"/>
  <c r="AR89" i="1" s="1"/>
  <c r="AS89" i="1" s="1"/>
  <c r="AL91" i="1" l="1"/>
  <c r="AK92" i="1" s="1"/>
  <c r="AC91" i="1"/>
  <c r="AD90" i="1"/>
  <c r="AM90" i="1" s="1"/>
  <c r="AE90" i="1"/>
  <c r="AP90" i="1" s="1"/>
  <c r="AL92" i="1" l="1"/>
  <c r="AK93" i="1" s="1"/>
  <c r="AC92" i="1"/>
  <c r="AR90" i="1"/>
  <c r="AS90" i="1" s="1"/>
  <c r="AE91" i="1"/>
  <c r="AP91" i="1" s="1"/>
  <c r="AD91" i="1"/>
  <c r="AM91" i="1" s="1"/>
  <c r="AR91" i="1" l="1"/>
  <c r="AS91" i="1" s="1"/>
  <c r="AL93" i="1"/>
  <c r="AK94" i="1" s="1"/>
  <c r="AC93" i="1"/>
  <c r="AD92" i="1"/>
  <c r="AM92" i="1" s="1"/>
  <c r="AE92" i="1"/>
  <c r="AP92" i="1" s="1"/>
  <c r="AL94" i="1" l="1"/>
  <c r="AK95" i="1" s="1"/>
  <c r="AC94" i="1"/>
  <c r="AR92" i="1"/>
  <c r="AS92" i="1" s="1"/>
  <c r="AE93" i="1"/>
  <c r="AP93" i="1" s="1"/>
  <c r="AD93" i="1"/>
  <c r="AM93" i="1" s="1"/>
  <c r="AR93" i="1" l="1"/>
  <c r="AS93" i="1" s="1"/>
  <c r="AL95" i="1"/>
  <c r="AK96" i="1" s="1"/>
  <c r="AC95" i="1"/>
  <c r="AD94" i="1"/>
  <c r="AM94" i="1" s="1"/>
  <c r="AE94" i="1"/>
  <c r="AP94" i="1" s="1"/>
  <c r="AL96" i="1" l="1"/>
  <c r="AK97" i="1" s="1"/>
  <c r="AC96" i="1"/>
  <c r="AE95" i="1"/>
  <c r="AP95" i="1" s="1"/>
  <c r="AD95" i="1"/>
  <c r="AM95" i="1" s="1"/>
  <c r="AR94" i="1"/>
  <c r="AS94" i="1" s="1"/>
  <c r="AR95" i="1" l="1"/>
  <c r="AS95" i="1" s="1"/>
  <c r="AL97" i="1"/>
  <c r="AK98" i="1" s="1"/>
  <c r="AC97" i="1"/>
  <c r="AE96" i="1"/>
  <c r="AP96" i="1" s="1"/>
  <c r="AD96" i="1"/>
  <c r="AM96" i="1" s="1"/>
  <c r="AR96" i="1" l="1"/>
  <c r="AS96" i="1" s="1"/>
  <c r="AL98" i="1"/>
  <c r="AK99" i="1" s="1"/>
  <c r="AC98" i="1"/>
  <c r="AE97" i="1"/>
  <c r="AP97" i="1" s="1"/>
  <c r="AD97" i="1"/>
  <c r="AM97" i="1" s="1"/>
  <c r="AR97" i="1" l="1"/>
  <c r="AS97" i="1" s="1"/>
  <c r="AL99" i="1"/>
  <c r="AK100" i="1" s="1"/>
  <c r="AC99" i="1"/>
  <c r="AD98" i="1"/>
  <c r="AM98" i="1" s="1"/>
  <c r="AE98" i="1"/>
  <c r="AP98" i="1" s="1"/>
  <c r="AR98" i="1" l="1"/>
  <c r="AS98" i="1" s="1"/>
  <c r="AL100" i="1"/>
  <c r="AK101" i="1" s="1"/>
  <c r="AC100" i="1"/>
  <c r="AD99" i="1"/>
  <c r="AM99" i="1" s="1"/>
  <c r="AE99" i="1"/>
  <c r="AP99" i="1" s="1"/>
  <c r="AR99" i="1" l="1"/>
  <c r="AS99" i="1" s="1"/>
  <c r="AL101" i="1"/>
  <c r="AK102" i="1" s="1"/>
  <c r="AC101" i="1"/>
  <c r="AD100" i="1"/>
  <c r="AM100" i="1" s="1"/>
  <c r="AE100" i="1"/>
  <c r="AP100" i="1" s="1"/>
  <c r="AL102" i="1" l="1"/>
  <c r="AK103" i="1" s="1"/>
  <c r="AC102" i="1"/>
  <c r="AR100" i="1"/>
  <c r="AS100" i="1" s="1"/>
  <c r="AE101" i="1"/>
  <c r="AP101" i="1" s="1"/>
  <c r="AD101" i="1"/>
  <c r="AM101" i="1" s="1"/>
  <c r="AR101" i="1" s="1"/>
  <c r="AS101" i="1" s="1"/>
  <c r="AL103" i="1" l="1"/>
  <c r="AK104" i="1" s="1"/>
  <c r="AC103" i="1"/>
  <c r="AD102" i="1"/>
  <c r="AM102" i="1" s="1"/>
  <c r="AE102" i="1"/>
  <c r="AP102" i="1" s="1"/>
  <c r="AR102" i="1" l="1"/>
  <c r="AS102" i="1" s="1"/>
  <c r="AL104" i="1"/>
  <c r="AK105" i="1" s="1"/>
  <c r="AC104" i="1"/>
  <c r="AE103" i="1"/>
  <c r="AP103" i="1" s="1"/>
  <c r="AD103" i="1"/>
  <c r="AM103" i="1" s="1"/>
  <c r="AR103" i="1" s="1"/>
  <c r="AS103" i="1" s="1"/>
  <c r="AL105" i="1" l="1"/>
  <c r="AK106" i="1" s="1"/>
  <c r="AC105" i="1"/>
  <c r="AD104" i="1"/>
  <c r="AM104" i="1" s="1"/>
  <c r="AE104" i="1"/>
  <c r="AP104" i="1" s="1"/>
  <c r="AL106" i="1" l="1"/>
  <c r="AK107" i="1" s="1"/>
  <c r="AC106" i="1"/>
  <c r="AR104" i="1"/>
  <c r="AS104" i="1" s="1"/>
  <c r="AD105" i="1"/>
  <c r="AM105" i="1" s="1"/>
  <c r="AE105" i="1"/>
  <c r="AP105" i="1" s="1"/>
  <c r="AL107" i="1" l="1"/>
  <c r="AK108" i="1" s="1"/>
  <c r="AC107" i="1"/>
  <c r="AR105" i="1"/>
  <c r="AS105" i="1" s="1"/>
  <c r="AE106" i="1"/>
  <c r="AP106" i="1" s="1"/>
  <c r="AD106" i="1"/>
  <c r="AM106" i="1" s="1"/>
  <c r="AR106" i="1" s="1"/>
  <c r="AS106" i="1" s="1"/>
  <c r="AL108" i="1" l="1"/>
  <c r="AK109" i="1" s="1"/>
  <c r="AC108" i="1"/>
  <c r="AD107" i="1"/>
  <c r="AM107" i="1" s="1"/>
  <c r="AE107" i="1"/>
  <c r="AP107" i="1" s="1"/>
  <c r="AR107" i="1" l="1"/>
  <c r="AS107" i="1" s="1"/>
  <c r="AL109" i="1"/>
  <c r="AK110" i="1" s="1"/>
  <c r="AC109" i="1"/>
  <c r="AD108" i="1"/>
  <c r="AM108" i="1" s="1"/>
  <c r="AE108" i="1"/>
  <c r="AP108" i="1" s="1"/>
  <c r="AL110" i="1" l="1"/>
  <c r="AK111" i="1" s="1"/>
  <c r="AC110" i="1"/>
  <c r="AD109" i="1"/>
  <c r="AM109" i="1" s="1"/>
  <c r="AE109" i="1"/>
  <c r="AP109" i="1" s="1"/>
  <c r="AR108" i="1"/>
  <c r="AS108" i="1" s="1"/>
  <c r="AL111" i="1" l="1"/>
  <c r="AK112" i="1" s="1"/>
  <c r="AC111" i="1"/>
  <c r="AE110" i="1"/>
  <c r="AP110" i="1" s="1"/>
  <c r="AD110" i="1"/>
  <c r="AM110" i="1" s="1"/>
  <c r="AR109" i="1"/>
  <c r="AS109" i="1" s="1"/>
  <c r="AL112" i="1" l="1"/>
  <c r="AK113" i="1" s="1"/>
  <c r="AC112" i="1"/>
  <c r="AR110" i="1"/>
  <c r="AS110" i="1" s="1"/>
  <c r="AE111" i="1"/>
  <c r="AP111" i="1" s="1"/>
  <c r="AD111" i="1"/>
  <c r="AM111" i="1" s="1"/>
  <c r="AR111" i="1" s="1"/>
  <c r="AS111" i="1" s="1"/>
  <c r="AL113" i="1" l="1"/>
  <c r="AK114" i="1" s="1"/>
  <c r="AC113" i="1"/>
  <c r="AD112" i="1"/>
  <c r="AM112" i="1" s="1"/>
  <c r="AE112" i="1"/>
  <c r="AP112" i="1" s="1"/>
  <c r="AL114" i="1" l="1"/>
  <c r="AK115" i="1" s="1"/>
  <c r="AC114" i="1"/>
  <c r="AR112" i="1"/>
  <c r="AS112" i="1" s="1"/>
  <c r="AE113" i="1"/>
  <c r="AP113" i="1" s="1"/>
  <c r="AD113" i="1"/>
  <c r="AM113" i="1" s="1"/>
  <c r="AR113" i="1" s="1"/>
  <c r="AS113" i="1" s="1"/>
  <c r="AL115" i="1" l="1"/>
  <c r="AK116" i="1" s="1"/>
  <c r="AC115" i="1"/>
  <c r="AE114" i="1"/>
  <c r="AP114" i="1" s="1"/>
  <c r="AD114" i="1"/>
  <c r="AM114" i="1" s="1"/>
  <c r="AR114" i="1" l="1"/>
  <c r="AS114" i="1" s="1"/>
  <c r="AL116" i="1"/>
  <c r="AK117" i="1" s="1"/>
  <c r="AC116" i="1"/>
  <c r="AE115" i="1"/>
  <c r="AP115" i="1" s="1"/>
  <c r="AD115" i="1"/>
  <c r="AM115" i="1" s="1"/>
  <c r="AL117" i="1" l="1"/>
  <c r="AK118" i="1" s="1"/>
  <c r="AC117" i="1"/>
  <c r="AR115" i="1"/>
  <c r="AS115" i="1" s="1"/>
  <c r="AE116" i="1"/>
  <c r="AP116" i="1" s="1"/>
  <c r="AD116" i="1"/>
  <c r="AM116" i="1" s="1"/>
  <c r="AR116" i="1" l="1"/>
  <c r="AS116" i="1" s="1"/>
  <c r="AL118" i="1"/>
  <c r="AK119" i="1" s="1"/>
  <c r="AC118" i="1"/>
  <c r="AE117" i="1"/>
  <c r="AP117" i="1" s="1"/>
  <c r="AD117" i="1"/>
  <c r="AM117" i="1" s="1"/>
  <c r="AR117" i="1" l="1"/>
  <c r="AS117" i="1" s="1"/>
  <c r="AL119" i="1"/>
  <c r="AK120" i="1" s="1"/>
  <c r="AC119" i="1"/>
  <c r="AD118" i="1"/>
  <c r="AM118" i="1" s="1"/>
  <c r="AE118" i="1"/>
  <c r="AP118" i="1" s="1"/>
  <c r="AR118" i="1" l="1"/>
  <c r="AS118" i="1" s="1"/>
  <c r="AL120" i="1"/>
  <c r="AK121" i="1" s="1"/>
  <c r="AC120" i="1"/>
  <c r="AD119" i="1"/>
  <c r="AM119" i="1" s="1"/>
  <c r="AE119" i="1"/>
  <c r="AP119" i="1" s="1"/>
  <c r="AR119" i="1" l="1"/>
  <c r="AS119" i="1" s="1"/>
  <c r="AL121" i="1"/>
  <c r="AK122" i="1" s="1"/>
  <c r="AC121" i="1"/>
  <c r="AE120" i="1"/>
  <c r="AP120" i="1" s="1"/>
  <c r="AD120" i="1"/>
  <c r="AM120" i="1" s="1"/>
  <c r="AL122" i="1" l="1"/>
  <c r="AK123" i="1" s="1"/>
  <c r="AC122" i="1"/>
  <c r="AR120" i="1"/>
  <c r="AS120" i="1" s="1"/>
  <c r="AE121" i="1"/>
  <c r="AP121" i="1" s="1"/>
  <c r="AD121" i="1"/>
  <c r="AM121" i="1" s="1"/>
  <c r="AR121" i="1" s="1"/>
  <c r="AS121" i="1" s="1"/>
  <c r="AL123" i="1" l="1"/>
  <c r="AK124" i="1" s="1"/>
  <c r="AC123" i="1"/>
  <c r="AE122" i="1"/>
  <c r="AP122" i="1" s="1"/>
  <c r="AD122" i="1"/>
  <c r="AM122" i="1" s="1"/>
  <c r="AL124" i="1" l="1"/>
  <c r="AK125" i="1" s="1"/>
  <c r="AC124" i="1"/>
  <c r="AR122" i="1"/>
  <c r="AS122" i="1" s="1"/>
  <c r="AE123" i="1"/>
  <c r="AP123" i="1" s="1"/>
  <c r="AD123" i="1"/>
  <c r="AM123" i="1" s="1"/>
  <c r="AR123" i="1" l="1"/>
  <c r="AS123" i="1" s="1"/>
  <c r="AL125" i="1"/>
  <c r="AK126" i="1" s="1"/>
  <c r="AC125" i="1"/>
  <c r="AE124" i="1"/>
  <c r="AP124" i="1" s="1"/>
  <c r="AD124" i="1"/>
  <c r="AM124" i="1" s="1"/>
  <c r="AR124" i="1" l="1"/>
  <c r="AS124" i="1" s="1"/>
  <c r="AC126" i="1"/>
  <c r="AM126" i="1"/>
  <c r="AL126" i="1"/>
  <c r="AL5" i="1" s="1"/>
  <c r="AD125" i="1"/>
  <c r="AM125" i="1" s="1"/>
  <c r="AE125" i="1"/>
  <c r="AP125" i="1" s="1"/>
  <c r="AP5" i="1" s="1"/>
  <c r="AR125" i="1" l="1"/>
  <c r="AS125" i="1" s="1"/>
  <c r="AR126" i="1"/>
  <c r="AM5" i="1"/>
  <c r="AE126" i="1"/>
  <c r="AE5" i="1" s="1"/>
  <c r="AD126" i="1"/>
  <c r="AD5" i="1" s="1"/>
  <c r="AS126" i="1" l="1"/>
  <c r="AS5" i="1" s="1"/>
  <c r="AU5" i="1" s="1"/>
  <c r="AR5" i="1"/>
  <c r="I4" i="1" l="1"/>
  <c r="B24" i="17"/>
  <c r="B25" i="17" s="1"/>
  <c r="H21" i="1" l="1"/>
  <c r="G21" i="1"/>
  <c r="G15" i="1"/>
  <c r="G16" i="1" s="1"/>
  <c r="G14" i="1"/>
  <c r="F4" i="1"/>
  <c r="G18" i="1" l="1"/>
  <c r="H18" i="1"/>
</calcChain>
</file>

<file path=xl/comments1.xml><?xml version="1.0" encoding="utf-8"?>
<comments xmlns="http://schemas.openxmlformats.org/spreadsheetml/2006/main">
  <authors>
    <author>Schamschula György</author>
    <author>Jaczkó Róbert EXT</author>
    <author>Gyetvainé Horváth Mária</author>
    <author>Heissler Gábor EXT</author>
  </authors>
  <commentList>
    <comment ref="G8" authorId="0" shapeId="0">
      <text>
        <r>
          <rPr>
            <sz val="9"/>
            <color indexed="81"/>
            <rFont val="Tahoma"/>
            <family val="2"/>
            <charset val="238"/>
          </rPr>
          <t>Egyéb ágazat esetében adható maximális hitel / támogatástartalom.</t>
        </r>
      </text>
    </comment>
    <comment ref="H8" authorId="1" shapeId="0">
      <text>
        <r>
          <rPr>
            <sz val="9"/>
            <color indexed="81"/>
            <rFont val="Tahoma"/>
            <family val="2"/>
            <charset val="238"/>
          </rPr>
          <t>Mezőgazdasági ágazat estén adható maximális hitel / támogatástartalom.</t>
        </r>
      </text>
    </comment>
    <comment ref="I8" authorId="1" shapeId="0">
      <text>
        <r>
          <rPr>
            <sz val="9"/>
            <color indexed="81"/>
            <rFont val="Tahoma"/>
            <family val="2"/>
            <charset val="238"/>
          </rPr>
          <t>Halászati ágazat esetén  maximális hitel / támogatástartalom.</t>
        </r>
      </text>
    </comment>
    <comment ref="B10" authorId="2" shapeId="0">
      <text>
        <r>
          <rPr>
            <sz val="9"/>
            <color indexed="81"/>
            <rFont val="Tahoma"/>
            <family val="2"/>
            <charset val="238"/>
          </rPr>
          <t xml:space="preserve">(1) Indikatív ajánlati szakaszban az aktuális, MNB által közzétett, két tizedes pontossággal meghatározott árfolyamot lehet használni.
(2) Az Eximbank hiteldöntését követően, a támogatás igazolás kiállításakor a támogatási döntés (Eximbank döntés) napját megelőző hónap utolsó napján érvényes, a MNB által közzétett, két tizedes pontossággal meghatározott devizaárfolyam alkalmazandó. </t>
        </r>
      </text>
    </comment>
    <comment ref="B11" authorId="1" shapeId="0">
      <text>
        <r>
          <rPr>
            <sz val="9"/>
            <color indexed="81"/>
            <rFont val="Tahoma"/>
            <family val="2"/>
            <charset val="238"/>
          </rPr>
          <t>Az Európai Bizottság által publikált, a döntés időpontjában alkalmazandó referencia alapkamat.</t>
        </r>
      </text>
    </comment>
    <comment ref="B12" authorId="1" shapeId="0">
      <text>
        <r>
          <rPr>
            <sz val="9"/>
            <color indexed="81"/>
            <rFont val="Tahoma"/>
            <family val="2"/>
            <charset val="238"/>
          </rPr>
          <t>nincs: pl.   projektcég (SPV)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2008/C 14/02 EU közleményben található felármátrix alapján meghatározandó.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>A kölcsönök fedezeteként felajánlott biztosítékok mértéke. A fedezettség mértéke magas, ha 70% vagy annál több, általános, ha 41% és 69% közötti, alacsony, ha 40% vagy az alatti mértékű biztosíték áll rendelkezésre a kölcsönök garanciájaként.</t>
        </r>
      </text>
    </comment>
    <comment ref="G19" authorId="1" shapeId="0">
      <text>
        <r>
          <rPr>
            <sz val="9"/>
            <color indexed="81"/>
            <rFont val="Tahoma"/>
            <family val="2"/>
            <charset val="238"/>
          </rPr>
          <t>Regionális beruházási támogatási jogcímen adható maximális hitel / támogatástartalom / támogatásintenzitás.</t>
        </r>
      </text>
    </comment>
    <comment ref="H19" authorId="1" shapeId="0">
      <text>
        <r>
          <rPr>
            <sz val="9"/>
            <color indexed="81"/>
            <rFont val="Tahoma"/>
            <family val="2"/>
            <charset val="238"/>
          </rPr>
          <t>KKV-ék beruházási támogatási jogcímen adható maximális hitel / támogatástartalom / támogatásintenzitás.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>A hitel eximbanki jóváhagyásának feltételezett időpontja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egyenlő tőke = amortizálódó tőke
egyedi = egyedi tőkefizetés (ld. Segédtábla) 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A beruházás a regionális támogatási térkép alapján mely régióban valósul meg, lásd: http://tvi.kormany.hu/regionalis-tamogatasi-terkep</t>
        </r>
      </text>
    </comment>
    <comment ref="B39" authorId="3" shapeId="0">
      <text>
        <r>
          <rPr>
            <sz val="9"/>
            <color indexed="81"/>
            <rFont val="Tahoma"/>
            <family val="2"/>
            <charset val="238"/>
          </rPr>
          <t>Abban az esetben, ha a támogatás összege csak HUF-ban van megadva, úgy az átszámításhoz az adott támogatásra vonatkozó döntés napját megelőző hónap utolsó napján érvényes, az MNB által közzétett, két tizedes pontossággal meghatározott devizaárfolyam alkalmazandó</t>
        </r>
      </text>
    </comment>
    <comment ref="B44" authorId="2" shapeId="0">
      <text>
        <r>
          <rPr>
            <sz val="9"/>
            <color indexed="81"/>
            <rFont val="Tahoma"/>
            <family val="2"/>
            <charset val="238"/>
          </rPr>
          <t>Ide értendőek a támogatások, amelyeket a C(2020) 1863 COVID Közlemény 3.1 szakasza alapján közvetlen támogatások, visszafizetendő előlegek vagy adókedvezmény formájában ítéltek meg a kedvezményezett vállalkozás számára és az azonos elszámolható költségekhez kapcsolódó dm jelegű támogatások
Abban az esetben, ha a támogatás összege csak HUF-ban van megadva, úgy az átszámításhoz az adott támogatásra vonatkozó döntés napját megelőző hónap utolsó napján érvényes, az MNB által közzétett, két tizedes pontossággal meghatározott devizaárfolyam alkalmazandó</t>
        </r>
      </text>
    </comment>
    <comment ref="B52" authorId="3" shapeId="0">
      <text>
        <r>
          <rPr>
            <sz val="9"/>
            <color indexed="81"/>
            <rFont val="Tahoma"/>
            <family val="2"/>
            <charset val="238"/>
          </rPr>
          <t>Abban az esetben, ha a támogatás összege csak HUF-ban van megadva, úgy az átszámításhoz az adott támogatásra vonatkozó döntés napját megelőző hónap utolsó napján érvényes, az MNB által közzétett, két tizedes pontossággal meghatározott devizaárfolyam alkalmazandó</t>
        </r>
      </text>
    </comment>
    <comment ref="B54" authorId="3" shapeId="0">
      <text>
        <r>
          <rPr>
            <sz val="9"/>
            <color indexed="81"/>
            <rFont val="Tahoma"/>
            <family val="2"/>
            <charset val="238"/>
          </rPr>
          <t>Abban az esetben, ha a támogatás összege csak HUF-ban van megadva, úgy az átszámításhoz az adott támogatásra vonatkozó döntés napját megelőző hónap utolsó napján érvényes, az MNB által közzétett, két tizedes pontossággal meghatározott devizaárfolyam alkalmazandó</t>
        </r>
      </text>
    </comment>
    <comment ref="B57" authorId="3" shapeId="0">
      <text>
        <r>
          <rPr>
            <sz val="9"/>
            <color indexed="81"/>
            <rFont val="Tahoma"/>
            <charset val="1"/>
          </rPr>
          <t>Abban az esetben, ha a támogatás összege csak HUF-ban van megadva, úgy az átszámításhoz az adott támogatásra vonatkozó döntés napját megelőző hónap utolsó napján érvényes, az MNB által közzétett, két tizedes pontossággal meghatározott devizaárfolyam alkalmazandó</t>
        </r>
      </text>
    </comment>
  </commentList>
</comments>
</file>

<file path=xl/sharedStrings.xml><?xml version="1.0" encoding="utf-8"?>
<sst xmlns="http://schemas.openxmlformats.org/spreadsheetml/2006/main" count="377" uniqueCount="342">
  <si>
    <t>Magas</t>
  </si>
  <si>
    <t>Általános</t>
  </si>
  <si>
    <t>Alacsony</t>
  </si>
  <si>
    <t>Jó</t>
  </si>
  <si>
    <t>Kielégítő</t>
  </si>
  <si>
    <t>Gyenge</t>
  </si>
  <si>
    <t>Rossz</t>
  </si>
  <si>
    <t>Fedezettség</t>
  </si>
  <si>
    <t>Hitelminősítés</t>
  </si>
  <si>
    <t>Tőke</t>
  </si>
  <si>
    <t>Támogatott konstruckió</t>
  </si>
  <si>
    <t>Piaci konstrukció</t>
  </si>
  <si>
    <t>PV</t>
  </si>
  <si>
    <t>Támogatástartalom</t>
  </si>
  <si>
    <t>Periodus</t>
  </si>
  <si>
    <t>Törlesztés</t>
  </si>
  <si>
    <t>Egyenlő tőke</t>
  </si>
  <si>
    <t>Egyedi</t>
  </si>
  <si>
    <t>Törlesztésgyakoriság</t>
  </si>
  <si>
    <t>Havi</t>
  </si>
  <si>
    <t>Negyedéves</t>
  </si>
  <si>
    <t>Féléves</t>
  </si>
  <si>
    <t>Egyenlő összeg</t>
  </si>
  <si>
    <t>Nyugat-Dunántúl</t>
  </si>
  <si>
    <t>Nagyvállalat</t>
  </si>
  <si>
    <t>Közép-Dunántúl</t>
  </si>
  <si>
    <t>Észak-Magyarország</t>
  </si>
  <si>
    <t>Észak-Alföld</t>
  </si>
  <si>
    <t>Dél-Dunántúl</t>
  </si>
  <si>
    <t>Dél-Alföld</t>
  </si>
  <si>
    <t>Beruházási hitel</t>
  </si>
  <si>
    <t>Budapest</t>
  </si>
  <si>
    <t>Select</t>
  </si>
  <si>
    <t>Abony</t>
  </si>
  <si>
    <t>Zebegény</t>
  </si>
  <si>
    <t>Dátum</t>
  </si>
  <si>
    <t>Tőkeamt.</t>
  </si>
  <si>
    <t>Kamatfiz.</t>
  </si>
  <si>
    <t>FV</t>
  </si>
  <si>
    <t>Alsónémedi</t>
  </si>
  <si>
    <t>Bernecebaráti</t>
  </si>
  <si>
    <t>Csemő</t>
  </si>
  <si>
    <t>Dabas</t>
  </si>
  <si>
    <t>Domony</t>
  </si>
  <si>
    <t>Dunaharaszti</t>
  </si>
  <si>
    <t>Ecser</t>
  </si>
  <si>
    <t>Érd</t>
  </si>
  <si>
    <t>Farmos</t>
  </si>
  <si>
    <t>Felsőpakony</t>
  </si>
  <si>
    <t>Gödöllő</t>
  </si>
  <si>
    <t>Gyál</t>
  </si>
  <si>
    <t>Halásztelek</t>
  </si>
  <si>
    <t>Iklad</t>
  </si>
  <si>
    <t>Ipolydamásd</t>
  </si>
  <si>
    <t>Ipolytölgyes</t>
  </si>
  <si>
    <t>Jászkarajenő</t>
  </si>
  <si>
    <t>Kartal</t>
  </si>
  <si>
    <t>Kemence</t>
  </si>
  <si>
    <t>Kiskunlacháza</t>
  </si>
  <si>
    <t>Kisnémedi</t>
  </si>
  <si>
    <t>Kocsér</t>
  </si>
  <si>
    <t>Kóspallag</t>
  </si>
  <si>
    <t>Letkés</t>
  </si>
  <si>
    <t>Lórév</t>
  </si>
  <si>
    <t>Maglód</t>
  </si>
  <si>
    <t>Makád</t>
  </si>
  <si>
    <t>Márianosztra</t>
  </si>
  <si>
    <t>Mikebuda</t>
  </si>
  <si>
    <t>Monor</t>
  </si>
  <si>
    <t>Nagybörzsöny</t>
  </si>
  <si>
    <t>Nagykáta</t>
  </si>
  <si>
    <t>Nagykőrös</t>
  </si>
  <si>
    <t>Nagytarcsa</t>
  </si>
  <si>
    <t>Nyársapát</t>
  </si>
  <si>
    <t>Ócsa</t>
  </si>
  <si>
    <t>Örkény</t>
  </si>
  <si>
    <t>Pécel</t>
  </si>
  <si>
    <t>Perőcsény</t>
  </si>
  <si>
    <t>Péteri</t>
  </si>
  <si>
    <t>Püspökhatvan</t>
  </si>
  <si>
    <t>Püspökszilágy</t>
  </si>
  <si>
    <t>Ráckeve</t>
  </si>
  <si>
    <t>Szentmártonkáta</t>
  </si>
  <si>
    <t>Szigetbecse</t>
  </si>
  <si>
    <t>Szigetszentmiklós</t>
  </si>
  <si>
    <t>Szob</t>
  </si>
  <si>
    <t>Szokolya</t>
  </si>
  <si>
    <t>Táborfalva</t>
  </si>
  <si>
    <t>Tápióbicske</t>
  </si>
  <si>
    <t>Tápiógyörgye</t>
  </si>
  <si>
    <t>Tápióság</t>
  </si>
  <si>
    <t>Tápiószele</t>
  </si>
  <si>
    <t>Tápiószentmárton</t>
  </si>
  <si>
    <t>Tápiószőlős</t>
  </si>
  <si>
    <t>Tatárszentgyörgy</t>
  </si>
  <si>
    <t>Tésa</t>
  </si>
  <si>
    <t>Törtel</t>
  </si>
  <si>
    <t>Tura</t>
  </si>
  <si>
    <t>Újhartyán</t>
  </si>
  <si>
    <t>Újszilvás</t>
  </si>
  <si>
    <t>Üllő</t>
  </si>
  <si>
    <t>Vác</t>
  </si>
  <si>
    <t>Váckisújfalu</t>
  </si>
  <si>
    <t>Valkó</t>
  </si>
  <si>
    <t>Vámosmikola</t>
  </si>
  <si>
    <t>Vecsés</t>
  </si>
  <si>
    <t>Verőce</t>
  </si>
  <si>
    <t>Verseg</t>
  </si>
  <si>
    <t>Áporka</t>
  </si>
  <si>
    <t>Aszód</t>
  </si>
  <si>
    <t>Bag</t>
  </si>
  <si>
    <t>Piliscsaba</t>
  </si>
  <si>
    <t>Pilisjászfalu</t>
  </si>
  <si>
    <t>Pilisvörösvár</t>
  </si>
  <si>
    <t>Solymár</t>
  </si>
  <si>
    <t>Közép_Magyarország</t>
  </si>
  <si>
    <t>Törlesztésiidőszak vége?</t>
  </si>
  <si>
    <t>HUF/EUR árfolyam</t>
  </si>
  <si>
    <t>A Elszámolható költségek</t>
  </si>
  <si>
    <t>B Elszámolható költségek</t>
  </si>
  <si>
    <t>C elszámolható költségek</t>
  </si>
  <si>
    <t>nincs!</t>
  </si>
  <si>
    <t>14-es cikk</t>
  </si>
  <si>
    <t>Hitelösszeg (EUR)</t>
  </si>
  <si>
    <t>Hitelösszeg (HUF)</t>
  </si>
  <si>
    <t>Maximális hitelösszeghez tartozó támogatástartalom (EUR)</t>
  </si>
  <si>
    <t>Tőkeamortizáció egyedi törlesztés esetén</t>
  </si>
  <si>
    <t>Acsa</t>
  </si>
  <si>
    <t>Albertirsa</t>
  </si>
  <si>
    <t>Apaj</t>
  </si>
  <si>
    <t>Bénye</t>
  </si>
  <si>
    <t>Biatorbágy</t>
  </si>
  <si>
    <t>Budajenő</t>
  </si>
  <si>
    <t>Budakalász</t>
  </si>
  <si>
    <t>Budakeszi</t>
  </si>
  <si>
    <t>Budaörs</t>
  </si>
  <si>
    <t>Bugyi</t>
  </si>
  <si>
    <t>Ceglédbercel</t>
  </si>
  <si>
    <t>Csévharaszt</t>
  </si>
  <si>
    <t>Csobánka</t>
  </si>
  <si>
    <t>Csomád</t>
  </si>
  <si>
    <t>Csömör</t>
  </si>
  <si>
    <t>Csörög</t>
  </si>
  <si>
    <t>Csővár</t>
  </si>
  <si>
    <t>Dánszentmiklós</t>
  </si>
  <si>
    <t>Dány</t>
  </si>
  <si>
    <t>Délegyháza</t>
  </si>
  <si>
    <t>Diósd</t>
  </si>
  <si>
    <t>Dömösd</t>
  </si>
  <si>
    <t>Dunabogdány</t>
  </si>
  <si>
    <t>Dunakeszi</t>
  </si>
  <si>
    <t>Dunavarsány</t>
  </si>
  <si>
    <t>Erdőkertes</t>
  </si>
  <si>
    <t>Fót</t>
  </si>
  <si>
    <t>Galagyörk</t>
  </si>
  <si>
    <t>Galahévíz</t>
  </si>
  <si>
    <t>Galamácsa</t>
  </si>
  <si>
    <t>Gomba</t>
  </si>
  <si>
    <t>Göd</t>
  </si>
  <si>
    <t>Gyömörő</t>
  </si>
  <si>
    <t>Herceghalom</t>
  </si>
  <si>
    <t>Hernád</t>
  </si>
  <si>
    <t>Hévizgyörk</t>
  </si>
  <si>
    <t>Inárcs</t>
  </si>
  <si>
    <t>Isaszeg</t>
  </si>
  <si>
    <t>Kakucs</t>
  </si>
  <si>
    <t>Káva</t>
  </si>
  <si>
    <t>Kerepes</t>
  </si>
  <si>
    <t>Kismaros</t>
  </si>
  <si>
    <t>Kisoroszi</t>
  </si>
  <si>
    <t>Kistarcsa</t>
  </si>
  <si>
    <t>Kóka</t>
  </si>
  <si>
    <t>Kosd</t>
  </si>
  <si>
    <t>Kőröstételen</t>
  </si>
  <si>
    <t>Leányfalu</t>
  </si>
  <si>
    <t>Majosháza</t>
  </si>
  <si>
    <t>Mende</t>
  </si>
  <si>
    <t>Mogyoród</t>
  </si>
  <si>
    <t>Nagykovácsi</t>
  </si>
  <si>
    <t>Nagymaros</t>
  </si>
  <si>
    <t>Nyáregyháza</t>
  </si>
  <si>
    <t>Őrbottyán</t>
  </si>
  <si>
    <t>Pánd</t>
  </si>
  <si>
    <t>Páty</t>
  </si>
  <si>
    <t>Penc</t>
  </si>
  <si>
    <t>Perbál</t>
  </si>
  <si>
    <t>Pilis</t>
  </si>
  <si>
    <t>Pilisborosjenő</t>
  </si>
  <si>
    <t>Pilisszántó</t>
  </si>
  <si>
    <t>Pilisszentiván</t>
  </si>
  <si>
    <t>Pilisszentkereszt</t>
  </si>
  <si>
    <t>Pilisszentlászló</t>
  </si>
  <si>
    <t>Pócsmegyer</t>
  </si>
  <si>
    <t>Pomáz</t>
  </si>
  <si>
    <t>Pusztavacs</t>
  </si>
  <si>
    <t>Pusztazámor</t>
  </si>
  <si>
    <t>Rád</t>
  </si>
  <si>
    <t>Remeteszőlős</t>
  </si>
  <si>
    <t>Sóskút</t>
  </si>
  <si>
    <t>Sülysáp</t>
  </si>
  <si>
    <t>Szada</t>
  </si>
  <si>
    <t>Százhalombatta</t>
  </si>
  <si>
    <t>Szentendre</t>
  </si>
  <si>
    <t>Szentlőrinckáta</t>
  </si>
  <si>
    <t>Szigetcsép</t>
  </si>
  <si>
    <t>Szigethalom</t>
  </si>
  <si>
    <t>Szigetmonostor</t>
  </si>
  <si>
    <t>Szigetszentmárton</t>
  </si>
  <si>
    <t>Szigetújfalu</t>
  </si>
  <si>
    <t>Sződ</t>
  </si>
  <si>
    <t>Sződliget</t>
  </si>
  <si>
    <t>Tahitótfalu</t>
  </si>
  <si>
    <t>Taksony</t>
  </si>
  <si>
    <t>Tápiószecső</t>
  </si>
  <si>
    <t>Tárnok</t>
  </si>
  <si>
    <t>Telki</t>
  </si>
  <si>
    <t>Tinnye</t>
  </si>
  <si>
    <t>Tóalmás</t>
  </si>
  <si>
    <t>Tök</t>
  </si>
  <si>
    <t>Tököl</t>
  </si>
  <si>
    <t>Törökbálint</t>
  </si>
  <si>
    <t>Újlengyel</t>
  </si>
  <si>
    <t>Úri</t>
  </si>
  <si>
    <t>Üröm</t>
  </si>
  <si>
    <t>Vácduka</t>
  </si>
  <si>
    <t>Vácegres</t>
  </si>
  <si>
    <t>Váchartyán</t>
  </si>
  <si>
    <t>Vácrátót</t>
  </si>
  <si>
    <t>Vácaszentlászló</t>
  </si>
  <si>
    <t>Vasad</t>
  </si>
  <si>
    <t>Veresegyház</t>
  </si>
  <si>
    <t>Visegrád</t>
  </si>
  <si>
    <t>Zsámbék</t>
  </si>
  <si>
    <t>Zsámbok</t>
  </si>
  <si>
    <t>Felárak</t>
  </si>
  <si>
    <t>Piaci referencia</t>
  </si>
  <si>
    <t>Regionális támogatási intenzitások</t>
  </si>
  <si>
    <t>Kizárók és KO-k</t>
  </si>
  <si>
    <t>Szorzó értéke</t>
  </si>
  <si>
    <t>Halászat/akvakultúra</t>
  </si>
  <si>
    <t>R szorzó értéke</t>
  </si>
  <si>
    <t>Segédszámítások</t>
  </si>
  <si>
    <t>Elszámolható ktg-ek EUR-ban</t>
  </si>
  <si>
    <t>Hitelösszeg</t>
  </si>
  <si>
    <t>R szorzó értéke a támogatási térkép alapján</t>
  </si>
  <si>
    <t>HUF érték</t>
  </si>
  <si>
    <t>Elszámolható ktg-ek HUF-ban</t>
  </si>
  <si>
    <t>17-es cikk</t>
  </si>
  <si>
    <t>Vállalatméret-szorzó</t>
  </si>
  <si>
    <t>Hitel/támogatástartalom arány</t>
  </si>
  <si>
    <t>Támogatástartalom a futamidő alatt</t>
  </si>
  <si>
    <t>Hitelösszeg/támogatástartalom</t>
  </si>
  <si>
    <t>Makrohoz kellenek (ne töröld ki!):</t>
  </si>
  <si>
    <t>Forgóeszközhitel</t>
  </si>
  <si>
    <t>Kiváló</t>
  </si>
  <si>
    <t>Kaphat?</t>
  </si>
  <si>
    <t>Alap intenzitás</t>
  </si>
  <si>
    <t>KKV bónusz</t>
  </si>
  <si>
    <t>Max. TT (EUR)</t>
  </si>
  <si>
    <t>Intenzitás</t>
  </si>
  <si>
    <t>MAX Támogatástartalom (mio EUR)</t>
  </si>
  <si>
    <t>Refin kamatok</t>
  </si>
  <si>
    <t>Min 1</t>
  </si>
  <si>
    <t>Min2</t>
  </si>
  <si>
    <t>Tényleges min</t>
  </si>
  <si>
    <t>Max</t>
  </si>
  <si>
    <t xml:space="preserve"> </t>
  </si>
  <si>
    <t>Egyedi törlesztés dátuma</t>
  </si>
  <si>
    <t>maradék</t>
  </si>
  <si>
    <t>tőke</t>
  </si>
  <si>
    <t>amort</t>
  </si>
  <si>
    <t>kamat</t>
  </si>
  <si>
    <t>dátumtól</t>
  </si>
  <si>
    <t>támogatott</t>
  </si>
  <si>
    <t>t maradék</t>
  </si>
  <si>
    <t>periódusközi kamatszámítás</t>
  </si>
  <si>
    <t>maradék kamatszámítás</t>
  </si>
  <si>
    <t>Egyedi folyósítás dátuma</t>
  </si>
  <si>
    <t>Folyósítás összege</t>
  </si>
  <si>
    <t>Támogatástartalom + egyéb kedvezmények</t>
  </si>
  <si>
    <t>Törlesztés módja</t>
  </si>
  <si>
    <t>Hitel jóváhagyásának várható időpontja (EXIM döntés dátuma)</t>
  </si>
  <si>
    <t>Első törlesztés várható dátuma</t>
  </si>
  <si>
    <t>Lízing</t>
  </si>
  <si>
    <t>Cegléd</t>
  </si>
  <si>
    <t>általános</t>
  </si>
  <si>
    <t>mezőgazdasági</t>
  </si>
  <si>
    <t>halászati</t>
  </si>
  <si>
    <t>Mezőgazdasági</t>
  </si>
  <si>
    <t>Általános szabály</t>
  </si>
  <si>
    <t>Mezőgazdasági szabály</t>
  </si>
  <si>
    <t>Halászati szabály</t>
  </si>
  <si>
    <t>Tényleges ügyleti kamat</t>
  </si>
  <si>
    <t xml:space="preserve">Ügyfél neve: </t>
  </si>
  <si>
    <t xml:space="preserve">Pénzügyi intézmény neve refinanszírozás esetén: </t>
  </si>
  <si>
    <t>PIACI KAMAT MEGHATÁROZÁSA</t>
  </si>
  <si>
    <t>HITELKARAKTERISZTIKA</t>
  </si>
  <si>
    <t>Mezőgazdasági ágazatra megítélt támogatás teljes összege (EUR):</t>
  </si>
  <si>
    <t>Halászati, akvakultúra ágazatra  megítélt támogatás teljes összeg (EUR):</t>
  </si>
  <si>
    <t>Egyéb ágazatra megítélt támogatás tejes összege (EUR):</t>
  </si>
  <si>
    <t>COVID Közlemény 3.1 alapján megítélt támogatásokon felül igénybe vehető szabad keret</t>
  </si>
  <si>
    <t>Támogatás jogalapja</t>
  </si>
  <si>
    <t>Hitel devizaneme</t>
  </si>
  <si>
    <t>Hitel fajtája/célja</t>
  </si>
  <si>
    <t>Kockázati felár (bázispont)</t>
  </si>
  <si>
    <t>Egyéni referencia kamatláb</t>
  </si>
  <si>
    <t>Van hitelfelvevői múltja vagy mérleg alapú hitelminősítése a hitelfelvevőnek?</t>
  </si>
  <si>
    <t>Van</t>
  </si>
  <si>
    <t>Cégbesorolás</t>
  </si>
  <si>
    <t>Adósminősítés</t>
  </si>
  <si>
    <t>Egyéb</t>
  </si>
  <si>
    <t>Annuitás</t>
  </si>
  <si>
    <t>Vállalat mérete</t>
  </si>
  <si>
    <t xml:space="preserve">Beruházás helyszíne </t>
  </si>
  <si>
    <t>Melyik település?</t>
  </si>
  <si>
    <t>ÁCSR/Agrár/Halászati csoportmentességi támogatásokhoz  kapcsoldódó azonos elszámolható költségekhez megítélt állami támogatások</t>
  </si>
  <si>
    <t>Azonos megyében folytatott működés során megítélt regionális beruházási támogatások</t>
  </si>
  <si>
    <t>KKV-ék részére megítélt beruházási támogatások</t>
  </si>
  <si>
    <t>Korábban megítélt támogatások adatai</t>
  </si>
  <si>
    <t>Korábban megítélt állami támogatások jogcíme</t>
  </si>
  <si>
    <t>ABER</t>
  </si>
  <si>
    <t>Igen</t>
  </si>
  <si>
    <t>Teljes(kumulált) támogatás intenzítása</t>
  </si>
  <si>
    <t>Beruházás elszámolható költsége (EUR)</t>
  </si>
  <si>
    <t>Adott beruházási költséghez kapcsolódó teljes támogatás összege (EUR)</t>
  </si>
  <si>
    <t>Teljes támogatás intenzítása</t>
  </si>
  <si>
    <t>Maximális támogatási mértékek</t>
  </si>
  <si>
    <t>Maximális támogatásintenzitás (%)</t>
  </si>
  <si>
    <t>Hitelre jutó támogatás intenzítása (EUR)</t>
  </si>
  <si>
    <t>Mikró/Kis</t>
  </si>
  <si>
    <t>Váll. Méret</t>
  </si>
  <si>
    <t>Maximális hitelösszeg (EUR)</t>
  </si>
  <si>
    <t>17-es cikk alapján elszámolható költségre (KKV-ék részére nyújtott beruházási támogatások) megítélt támogatások összege (EUR)</t>
  </si>
  <si>
    <t>Korábban megítélt állami támogatások rendeleti alapja</t>
  </si>
  <si>
    <t>Regionális alapon megítélt beruházási támogatások teljes összege (14. cikk), az azonos tevékenységre, azonos megyében (EUR)</t>
  </si>
  <si>
    <t>Korábban megítélt állami támogatás összege (EUR)</t>
  </si>
  <si>
    <r>
      <t>Referencia alapkamat</t>
    </r>
    <r>
      <rPr>
        <u/>
        <sz val="11"/>
        <color rgb="FFFF0000"/>
        <rFont val="Calibri"/>
        <family val="2"/>
        <charset val="238"/>
        <scheme val="minor"/>
      </rPr>
      <t xml:space="preserve"> - </t>
    </r>
    <r>
      <rPr>
        <b/>
        <u/>
        <sz val="11"/>
        <color rgb="FFFF0000"/>
        <rFont val="Calibri"/>
        <family val="2"/>
        <charset val="238"/>
        <scheme val="minor"/>
      </rPr>
      <t>Kérjük adja meg a hatályos, devizanem szerinti értéket!</t>
    </r>
  </si>
  <si>
    <t>HUF</t>
  </si>
  <si>
    <t>A beruházási hitel kapcsolódik-e ugyanazon elszámolható költéségek tekintetében megítélt támogatáshoz vagy a TF 3.1 alapján megítélt támogatásokhoz?</t>
  </si>
  <si>
    <t>Azonos elszámolható költségekre megítélt COVID Közlemény 3.1 és de minimis szerinti állami támogatások</t>
  </si>
  <si>
    <t>Nem azonos elszámolható költségekre megítélt COVID Közlemény 3.1 szerinti állami támogatások</t>
  </si>
  <si>
    <t>GBER 14, 17-es jogcímek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</si>
</sst>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F_t_-;\-* #,##0.00\ _F_t_-;_-* &quot;-&quot;??\ _F_t_-;_-@_-"/>
    <numFmt numFmtId="165" formatCode="#\ &quot;periodus&quot;"/>
    <numFmt numFmtId="166" formatCode="#\ &quot;per év&quot;"/>
    <numFmt numFmtId="167" formatCode="#,##0_ ;[Red]\-#,##0\ "/>
    <numFmt numFmtId="168" formatCode="_-* #,##0\ _F_t_-;\-* #,##0\ _F_t_-;_-* &quot;-&quot;??\ _F_t_-;_-@_-"/>
    <numFmt numFmtId="169" formatCode="#,##0_ ;\-#,##0\ "/>
    <numFmt numFmtId="170" formatCode="#0.00\ &quot;év&quot;"/>
    <numFmt numFmtId="171" formatCode="#.00\ &quot;év&quot;"/>
    <numFmt numFmtId="172" formatCode="0.0"/>
    <numFmt numFmtId="173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/>
    <xf numFmtId="10" fontId="0" fillId="0" borderId="0" xfId="0" applyNumberFormat="1"/>
    <xf numFmtId="3" fontId="4" fillId="0" borderId="0" xfId="0" applyNumberFormat="1" applyFont="1"/>
    <xf numFmtId="0" fontId="5" fillId="0" borderId="0" xfId="0" applyFont="1" applyAlignment="1">
      <alignment horizontal="left" indent="1"/>
    </xf>
    <xf numFmtId="3" fontId="0" fillId="0" borderId="0" xfId="0" applyNumberFormat="1"/>
    <xf numFmtId="0" fontId="0" fillId="0" borderId="0" xfId="0" applyBorder="1"/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/>
    <xf numFmtId="3" fontId="0" fillId="5" borderId="0" xfId="0" applyNumberFormat="1" applyFill="1"/>
    <xf numFmtId="0" fontId="3" fillId="6" borderId="4" xfId="0" applyFont="1" applyFill="1" applyBorder="1"/>
    <xf numFmtId="3" fontId="3" fillId="6" borderId="4" xfId="0" applyNumberFormat="1" applyFont="1" applyFill="1" applyBorder="1"/>
    <xf numFmtId="3" fontId="3" fillId="6" borderId="5" xfId="0" applyNumberFormat="1" applyFont="1" applyFill="1" applyBorder="1"/>
    <xf numFmtId="3" fontId="3" fillId="6" borderId="1" xfId="0" applyNumberFormat="1" applyFont="1" applyFill="1" applyBorder="1"/>
    <xf numFmtId="14" fontId="0" fillId="0" borderId="0" xfId="0" applyNumberFormat="1"/>
    <xf numFmtId="0" fontId="0" fillId="0" borderId="0" xfId="0" applyFill="1" applyAlignment="1">
      <alignment horizontal="right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3" fontId="0" fillId="5" borderId="0" xfId="0" applyNumberFormat="1" applyFill="1" applyBorder="1"/>
    <xf numFmtId="3" fontId="0" fillId="0" borderId="0" xfId="0" applyNumberFormat="1" applyFill="1"/>
    <xf numFmtId="0" fontId="9" fillId="0" borderId="0" xfId="0" applyFont="1"/>
    <xf numFmtId="0" fontId="0" fillId="7" borderId="0" xfId="0" applyFill="1"/>
    <xf numFmtId="0" fontId="3" fillId="7" borderId="0" xfId="0" applyFont="1" applyFill="1" applyBorder="1" applyAlignment="1">
      <alignment horizontal="center"/>
    </xf>
    <xf numFmtId="3" fontId="0" fillId="7" borderId="0" xfId="0" applyNumberFormat="1" applyFont="1" applyFill="1"/>
    <xf numFmtId="10" fontId="0" fillId="7" borderId="0" xfId="0" applyNumberFormat="1" applyFill="1"/>
    <xf numFmtId="0" fontId="0" fillId="0" borderId="0" xfId="0"/>
    <xf numFmtId="0" fontId="0" fillId="5" borderId="0" xfId="0" applyFill="1"/>
    <xf numFmtId="167" fontId="0" fillId="0" borderId="0" xfId="0" applyNumberFormat="1"/>
    <xf numFmtId="0" fontId="11" fillId="0" borderId="0" xfId="0" applyFont="1"/>
    <xf numFmtId="0" fontId="10" fillId="0" borderId="0" xfId="0" applyFont="1" applyFill="1"/>
    <xf numFmtId="9" fontId="10" fillId="0" borderId="0" xfId="0" applyNumberFormat="1" applyFont="1" applyFill="1"/>
    <xf numFmtId="9" fontId="0" fillId="0" borderId="0" xfId="0" applyNumberFormat="1" applyFill="1"/>
    <xf numFmtId="0" fontId="3" fillId="0" borderId="0" xfId="0" applyFont="1" applyFill="1"/>
    <xf numFmtId="0" fontId="3" fillId="2" borderId="3" xfId="0" applyFont="1" applyFill="1" applyBorder="1"/>
    <xf numFmtId="1" fontId="0" fillId="0" borderId="0" xfId="3" applyNumberFormat="1" applyFont="1" applyFill="1" applyAlignment="1">
      <alignment horizontal="right" vertical="center"/>
    </xf>
    <xf numFmtId="0" fontId="3" fillId="2" borderId="2" xfId="0" applyFont="1" applyFill="1" applyBorder="1"/>
    <xf numFmtId="168" fontId="0" fillId="0" borderId="0" xfId="3" applyNumberFormat="1" applyFont="1"/>
    <xf numFmtId="0" fontId="11" fillId="0" borderId="0" xfId="0" applyFont="1" applyFill="1"/>
    <xf numFmtId="0" fontId="15" fillId="0" borderId="0" xfId="0" applyFont="1" applyAlignment="1"/>
    <xf numFmtId="0" fontId="0" fillId="0" borderId="0" xfId="0" applyAlignment="1">
      <alignment horizontal="center"/>
    </xf>
    <xf numFmtId="0" fontId="10" fillId="2" borderId="0" xfId="0" applyFont="1" applyFill="1"/>
    <xf numFmtId="0" fontId="0" fillId="10" borderId="0" xfId="0" applyFill="1"/>
    <xf numFmtId="0" fontId="0" fillId="0" borderId="9" xfId="0" applyBorder="1"/>
    <xf numFmtId="0" fontId="10" fillId="0" borderId="9" xfId="0" applyFont="1" applyFill="1" applyBorder="1"/>
    <xf numFmtId="0" fontId="0" fillId="0" borderId="9" xfId="0" applyFill="1" applyBorder="1"/>
    <xf numFmtId="0" fontId="0" fillId="0" borderId="0" xfId="0" applyAlignment="1">
      <alignment wrapText="1"/>
    </xf>
    <xf numFmtId="168" fontId="0" fillId="0" borderId="0" xfId="0" applyNumberFormat="1"/>
    <xf numFmtId="0" fontId="10" fillId="6" borderId="0" xfId="0" applyFont="1" applyFill="1"/>
    <xf numFmtId="2" fontId="0" fillId="0" borderId="0" xfId="0" applyNumberFormat="1"/>
    <xf numFmtId="49" fontId="4" fillId="2" borderId="0" xfId="0" applyNumberFormat="1" applyFont="1" applyFill="1"/>
    <xf numFmtId="0" fontId="14" fillId="0" borderId="0" xfId="0" applyFont="1"/>
    <xf numFmtId="9" fontId="0" fillId="0" borderId="15" xfId="1" applyFont="1" applyBorder="1" applyProtection="1">
      <protection locked="0"/>
    </xf>
    <xf numFmtId="0" fontId="10" fillId="0" borderId="0" xfId="0" applyFont="1" applyFill="1" applyBorder="1"/>
    <xf numFmtId="3" fontId="12" fillId="0" borderId="0" xfId="0" applyNumberFormat="1" applyFont="1" applyFill="1" applyBorder="1"/>
    <xf numFmtId="172" fontId="0" fillId="0" borderId="0" xfId="0" applyNumberFormat="1"/>
    <xf numFmtId="9" fontId="0" fillId="2" borderId="0" xfId="0" applyNumberForma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73" fontId="4" fillId="0" borderId="0" xfId="1" applyNumberFormat="1" applyFont="1" applyFill="1" applyAlignment="1">
      <alignment horizontal="right"/>
    </xf>
    <xf numFmtId="173" fontId="4" fillId="0" borderId="0" xfId="1" applyNumberFormat="1" applyFont="1"/>
    <xf numFmtId="10" fontId="12" fillId="0" borderId="3" xfId="1" applyNumberFormat="1" applyFont="1" applyBorder="1"/>
    <xf numFmtId="0" fontId="12" fillId="9" borderId="7" xfId="0" applyFont="1" applyFill="1" applyBorder="1" applyAlignment="1" applyProtection="1">
      <alignment horizontal="right"/>
      <protection locked="0"/>
    </xf>
    <xf numFmtId="14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4" fontId="0" fillId="5" borderId="0" xfId="0" applyNumberFormat="1" applyFill="1"/>
    <xf numFmtId="14" fontId="12" fillId="9" borderId="7" xfId="0" applyNumberFormat="1" applyFont="1" applyFill="1" applyBorder="1" applyAlignment="1" applyProtection="1">
      <alignment vertical="center"/>
      <protection locked="0"/>
    </xf>
    <xf numFmtId="14" fontId="12" fillId="9" borderId="7" xfId="0" applyNumberFormat="1" applyFont="1" applyFill="1" applyBorder="1" applyAlignment="1" applyProtection="1">
      <alignment horizontal="right"/>
      <protection locked="0"/>
    </xf>
    <xf numFmtId="170" fontId="6" fillId="0" borderId="0" xfId="0" applyNumberFormat="1" applyFont="1" applyFill="1"/>
    <xf numFmtId="171" fontId="6" fillId="0" borderId="0" xfId="0" applyNumberFormat="1" applyFont="1" applyFill="1"/>
    <xf numFmtId="10" fontId="12" fillId="2" borderId="3" xfId="1" applyNumberFormat="1" applyFont="1" applyFill="1" applyBorder="1"/>
    <xf numFmtId="14" fontId="0" fillId="0" borderId="0" xfId="0" applyNumberFormat="1" applyFill="1" applyAlignment="1"/>
    <xf numFmtId="0" fontId="0" fillId="0" borderId="0" xfId="0" applyFill="1" applyAlignment="1"/>
    <xf numFmtId="0" fontId="2" fillId="4" borderId="0" xfId="0" applyFont="1" applyFill="1" applyBorder="1" applyAlignment="1">
      <alignment horizontal="center"/>
    </xf>
    <xf numFmtId="2" fontId="12" fillId="9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3" fontId="0" fillId="9" borderId="0" xfId="0" applyNumberFormat="1" applyFill="1" applyProtection="1">
      <protection locked="0"/>
    </xf>
    <xf numFmtId="14" fontId="0" fillId="9" borderId="0" xfId="0" applyNumberFormat="1" applyFill="1" applyProtection="1">
      <protection locked="0"/>
    </xf>
    <xf numFmtId="14" fontId="0" fillId="9" borderId="0" xfId="0" applyNumberFormat="1" applyFill="1" applyAlignment="1" applyProtection="1">
      <alignment horizontal="center"/>
      <protection locked="0"/>
    </xf>
    <xf numFmtId="0" fontId="10" fillId="0" borderId="0" xfId="0" applyFont="1"/>
    <xf numFmtId="0" fontId="0" fillId="5" borderId="10" xfId="0" applyFill="1" applyBorder="1"/>
    <xf numFmtId="169" fontId="0" fillId="5" borderId="1" xfId="3" applyNumberFormat="1" applyFont="1" applyFill="1" applyBorder="1" applyAlignment="1">
      <alignment horizontal="right"/>
    </xf>
    <xf numFmtId="169" fontId="1" fillId="5" borderId="1" xfId="3" applyNumberFormat="1" applyFont="1" applyFill="1" applyBorder="1" applyAlignment="1">
      <alignment horizontal="right"/>
    </xf>
    <xf numFmtId="169" fontId="0" fillId="5" borderId="8" xfId="3" applyNumberFormat="1" applyFont="1" applyFill="1" applyBorder="1" applyAlignment="1">
      <alignment horizontal="right"/>
    </xf>
    <xf numFmtId="3" fontId="3" fillId="0" borderId="13" xfId="0" applyNumberFormat="1" applyFont="1" applyBorder="1"/>
    <xf numFmtId="10" fontId="0" fillId="0" borderId="15" xfId="1" applyNumberFormat="1" applyFont="1" applyBorder="1"/>
    <xf numFmtId="10" fontId="0" fillId="0" borderId="14" xfId="1" applyNumberFormat="1" applyFont="1" applyBorder="1"/>
    <xf numFmtId="0" fontId="3" fillId="2" borderId="11" xfId="0" applyFont="1" applyFill="1" applyBorder="1" applyAlignment="1"/>
    <xf numFmtId="0" fontId="3" fillId="2" borderId="10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/>
    </xf>
    <xf numFmtId="0" fontId="3" fillId="0" borderId="25" xfId="0" applyFont="1" applyBorder="1" applyAlignment="1">
      <alignment horizontal="left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left" indent="1"/>
    </xf>
    <xf numFmtId="3" fontId="16" fillId="11" borderId="17" xfId="0" applyNumberFormat="1" applyFont="1" applyFill="1" applyBorder="1"/>
    <xf numFmtId="0" fontId="8" fillId="0" borderId="2" xfId="2" applyBorder="1"/>
    <xf numFmtId="3" fontId="12" fillId="0" borderId="3" xfId="0" applyNumberFormat="1" applyFont="1" applyBorder="1"/>
    <xf numFmtId="0" fontId="3" fillId="2" borderId="2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10" fontId="17" fillId="0" borderId="7" xfId="1" applyNumberFormat="1" applyFont="1" applyFill="1" applyBorder="1" applyProtection="1"/>
    <xf numFmtId="0" fontId="12" fillId="9" borderId="7" xfId="0" applyFont="1" applyFill="1" applyBorder="1" applyAlignment="1" applyProtection="1">
      <alignment horizontal="center"/>
      <protection locked="0"/>
    </xf>
    <xf numFmtId="3" fontId="0" fillId="5" borderId="0" xfId="0" applyNumberFormat="1" applyFill="1" applyProtection="1"/>
    <xf numFmtId="0" fontId="10" fillId="0" borderId="9" xfId="0" applyFont="1" applyFill="1" applyBorder="1" applyAlignment="1">
      <alignment horizontal="left"/>
    </xf>
    <xf numFmtId="0" fontId="3" fillId="9" borderId="7" xfId="0" applyNumberFormat="1" applyFont="1" applyFill="1" applyBorder="1" applyAlignment="1" applyProtection="1">
      <alignment horizontal="right" vertical="top" wrapText="1"/>
      <protection locked="0"/>
    </xf>
    <xf numFmtId="0" fontId="3" fillId="0" borderId="9" xfId="0" applyFont="1" applyBorder="1"/>
    <xf numFmtId="0" fontId="12" fillId="0" borderId="7" xfId="0" applyFont="1" applyBorder="1"/>
    <xf numFmtId="0" fontId="21" fillId="0" borderId="9" xfId="0" applyFont="1" applyBorder="1" applyAlignment="1">
      <alignment horizontal="left" indent="1"/>
    </xf>
    <xf numFmtId="0" fontId="17" fillId="9" borderId="7" xfId="0" applyFont="1" applyFill="1" applyBorder="1" applyAlignment="1" applyProtection="1">
      <alignment horizontal="right"/>
      <protection locked="0"/>
    </xf>
    <xf numFmtId="10" fontId="12" fillId="9" borderId="3" xfId="0" applyNumberFormat="1" applyFont="1" applyFill="1" applyBorder="1" applyProtection="1">
      <protection locked="0"/>
    </xf>
    <xf numFmtId="0" fontId="20" fillId="0" borderId="10" xfId="0" applyFont="1" applyFill="1" applyBorder="1" applyAlignment="1">
      <alignment horizontal="left" indent="1"/>
    </xf>
    <xf numFmtId="3" fontId="16" fillId="11" borderId="28" xfId="0" applyNumberFormat="1" applyFont="1" applyFill="1" applyBorder="1"/>
    <xf numFmtId="3" fontId="16" fillId="11" borderId="16" xfId="0" applyNumberFormat="1" applyFont="1" applyFill="1" applyBorder="1"/>
    <xf numFmtId="0" fontId="3" fillId="9" borderId="12" xfId="0" applyFont="1" applyFill="1" applyBorder="1" applyAlignment="1" applyProtection="1">
      <alignment horizontal="right" wrapText="1"/>
      <protection locked="0"/>
    </xf>
    <xf numFmtId="168" fontId="12" fillId="9" borderId="7" xfId="3" applyNumberFormat="1" applyFont="1" applyFill="1" applyBorder="1" applyAlignment="1" applyProtection="1">
      <alignment horizontal="center" vertical="center"/>
      <protection locked="0"/>
    </xf>
    <xf numFmtId="168" fontId="12" fillId="9" borderId="8" xfId="3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left" indent="1"/>
    </xf>
    <xf numFmtId="3" fontId="3" fillId="0" borderId="7" xfId="0" applyNumberFormat="1" applyFont="1" applyBorder="1"/>
    <xf numFmtId="0" fontId="0" fillId="0" borderId="10" xfId="0" applyFill="1" applyBorder="1" applyAlignment="1">
      <alignment horizontal="left" indent="1"/>
    </xf>
    <xf numFmtId="10" fontId="3" fillId="0" borderId="8" xfId="1" applyNumberFormat="1" applyFont="1" applyBorder="1"/>
    <xf numFmtId="0" fontId="13" fillId="2" borderId="2" xfId="0" applyFont="1" applyFill="1" applyBorder="1" applyAlignment="1"/>
    <xf numFmtId="0" fontId="3" fillId="2" borderId="2" xfId="0" applyFont="1" applyFill="1" applyBorder="1" applyAlignment="1"/>
    <xf numFmtId="0" fontId="3" fillId="2" borderId="29" xfId="0" applyFont="1" applyFill="1" applyBorder="1" applyAlignment="1">
      <alignment horizontal="center"/>
    </xf>
    <xf numFmtId="0" fontId="0" fillId="5" borderId="2" xfId="0" applyFont="1" applyFill="1" applyBorder="1"/>
    <xf numFmtId="9" fontId="0" fillId="5" borderId="4" xfId="1" applyNumberFormat="1" applyFont="1" applyFill="1" applyBorder="1" applyAlignment="1">
      <alignment horizontal="right"/>
    </xf>
    <xf numFmtId="9" fontId="0" fillId="5" borderId="3" xfId="1" applyFont="1" applyFill="1" applyBorder="1" applyAlignment="1">
      <alignment horizontal="right"/>
    </xf>
    <xf numFmtId="0" fontId="3" fillId="9" borderId="27" xfId="0" applyFont="1" applyFill="1" applyBorder="1" applyAlignment="1" applyProtection="1">
      <alignment horizontal="center"/>
      <protection locked="0"/>
    </xf>
    <xf numFmtId="168" fontId="10" fillId="0" borderId="0" xfId="3" applyNumberFormat="1" applyFont="1"/>
    <xf numFmtId="168" fontId="10" fillId="6" borderId="13" xfId="3" applyNumberFormat="1" applyFont="1" applyFill="1" applyBorder="1"/>
    <xf numFmtId="168" fontId="10" fillId="6" borderId="14" xfId="3" applyNumberFormat="1" applyFont="1" applyFill="1" applyBorder="1"/>
    <xf numFmtId="10" fontId="3" fillId="0" borderId="7" xfId="1" applyNumberFormat="1" applyFont="1" applyBorder="1"/>
    <xf numFmtId="168" fontId="3" fillId="9" borderId="7" xfId="0" applyNumberFormat="1" applyFont="1" applyFill="1" applyBorder="1" applyProtection="1">
      <protection locked="0"/>
    </xf>
    <xf numFmtId="168" fontId="3" fillId="9" borderId="8" xfId="0" applyNumberFormat="1" applyFont="1" applyFill="1" applyBorder="1" applyProtection="1">
      <protection locked="0"/>
    </xf>
    <xf numFmtId="0" fontId="3" fillId="9" borderId="3" xfId="0" applyFont="1" applyFill="1" applyBorder="1" applyAlignment="1" applyProtection="1">
      <alignment horizontal="right" wrapText="1"/>
      <protection locked="0"/>
    </xf>
    <xf numFmtId="0" fontId="3" fillId="0" borderId="6" xfId="0" applyFont="1" applyFill="1" applyBorder="1" applyAlignment="1" applyProtection="1">
      <alignment horizontal="center"/>
    </xf>
    <xf numFmtId="0" fontId="20" fillId="0" borderId="2" xfId="0" applyFont="1" applyFill="1" applyBorder="1" applyAlignment="1">
      <alignment horizontal="left" indent="1"/>
    </xf>
    <xf numFmtId="168" fontId="12" fillId="9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indent="1"/>
    </xf>
    <xf numFmtId="0" fontId="12" fillId="9" borderId="12" xfId="0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left" indent="1"/>
    </xf>
    <xf numFmtId="0" fontId="12" fillId="9" borderId="8" xfId="0" applyFont="1" applyFill="1" applyBorder="1" applyAlignment="1" applyProtection="1">
      <alignment horizontal="right"/>
      <protection locked="0"/>
    </xf>
    <xf numFmtId="0" fontId="18" fillId="0" borderId="0" xfId="0" applyFont="1" applyFill="1" applyBorder="1"/>
    <xf numFmtId="0" fontId="18" fillId="0" borderId="26" xfId="0" applyFont="1" applyFill="1" applyBorder="1"/>
    <xf numFmtId="169" fontId="18" fillId="0" borderId="26" xfId="3" applyNumberFormat="1" applyFont="1" applyFill="1" applyBorder="1" applyAlignment="1">
      <alignment horizontal="right"/>
    </xf>
    <xf numFmtId="169" fontId="18" fillId="0" borderId="0" xfId="3" applyNumberFormat="1" applyFont="1" applyFill="1" applyBorder="1" applyAlignment="1">
      <alignment horizontal="right"/>
    </xf>
    <xf numFmtId="0" fontId="3" fillId="9" borderId="3" xfId="0" applyFont="1" applyFill="1" applyBorder="1" applyAlignment="1" applyProtection="1">
      <alignment horizontal="right"/>
      <protection locked="0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0" fillId="0" borderId="9" xfId="0" applyFont="1" applyBorder="1" applyAlignment="1">
      <alignment horizontal="left" indent="1"/>
    </xf>
    <xf numFmtId="0" fontId="20" fillId="0" borderId="10" xfId="0" applyFont="1" applyBorder="1" applyAlignment="1">
      <alignment horizontal="left" indent="1"/>
    </xf>
    <xf numFmtId="168" fontId="12" fillId="9" borderId="7" xfId="3" applyNumberFormat="1" applyFont="1" applyFill="1" applyBorder="1" applyAlignment="1" applyProtection="1">
      <alignment horizontal="right" vertical="center" indent="1"/>
      <protection locked="0"/>
    </xf>
    <xf numFmtId="168" fontId="3" fillId="9" borderId="12" xfId="0" applyNumberFormat="1" applyFont="1" applyFill="1" applyBorder="1" applyProtection="1">
      <protection locked="0"/>
    </xf>
    <xf numFmtId="14" fontId="18" fillId="0" borderId="0" xfId="0" applyNumberFormat="1" applyFont="1" applyAlignment="1">
      <alignment horizontal="center" wrapText="1"/>
    </xf>
    <xf numFmtId="0" fontId="0" fillId="9" borderId="2" xfId="0" applyFill="1" applyBorder="1" applyAlignment="1" applyProtection="1">
      <alignment horizontal="left"/>
      <protection locked="0"/>
    </xf>
    <xf numFmtId="0" fontId="0" fillId="9" borderId="3" xfId="0" applyFill="1" applyBorder="1" applyAlignment="1" applyProtection="1">
      <alignment horizontal="left"/>
      <protection locked="0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1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left"/>
    </xf>
    <xf numFmtId="0" fontId="16" fillId="11" borderId="19" xfId="0" applyFont="1" applyFill="1" applyBorder="1" applyAlignment="1">
      <alignment horizontal="left"/>
    </xf>
    <xf numFmtId="0" fontId="16" fillId="11" borderId="20" xfId="0" applyFont="1" applyFill="1" applyBorder="1" applyAlignment="1">
      <alignment horizontal="left"/>
    </xf>
    <xf numFmtId="0" fontId="16" fillId="11" borderId="21" xfId="0" applyFont="1" applyFill="1" applyBorder="1" applyAlignment="1">
      <alignment horizontal="left"/>
    </xf>
    <xf numFmtId="0" fontId="16" fillId="11" borderId="4" xfId="0" applyFont="1" applyFill="1" applyBorder="1" applyAlignment="1">
      <alignment horizontal="left"/>
    </xf>
    <xf numFmtId="0" fontId="16" fillId="11" borderId="3" xfId="0" applyFont="1" applyFill="1" applyBorder="1" applyAlignment="1">
      <alignment horizontal="left"/>
    </xf>
    <xf numFmtId="0" fontId="16" fillId="11" borderId="22" xfId="0" applyFont="1" applyFill="1" applyBorder="1" applyAlignment="1">
      <alignment horizontal="left"/>
    </xf>
    <xf numFmtId="0" fontId="16" fillId="11" borderId="23" xfId="0" applyFont="1" applyFill="1" applyBorder="1" applyAlignment="1">
      <alignment horizontal="left"/>
    </xf>
    <xf numFmtId="0" fontId="16" fillId="11" borderId="24" xfId="0" applyFont="1" applyFill="1" applyBorder="1" applyAlignment="1">
      <alignment horizontal="left"/>
    </xf>
    <xf numFmtId="0" fontId="1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3" fillId="2" borderId="0" xfId="0" applyFont="1" applyFill="1" applyAlignment="1">
      <alignment horizontal="center" textRotation="90"/>
    </xf>
    <xf numFmtId="0" fontId="3" fillId="2" borderId="0" xfId="0" applyFont="1" applyFill="1" applyAlignment="1">
      <alignment horizontal="center"/>
    </xf>
    <xf numFmtId="0" fontId="0" fillId="8" borderId="0" xfId="0" applyFill="1" applyAlignment="1">
      <alignment horizontal="center" wrapText="1"/>
    </xf>
    <xf numFmtId="0" fontId="0" fillId="6" borderId="7" xfId="0" applyFill="1" applyBorder="1" applyAlignment="1">
      <alignment horizontal="center"/>
    </xf>
  </cellXfs>
  <cellStyles count="4">
    <cellStyle name="Ezres" xfId="3" builtinId="3"/>
    <cellStyle name="Hivatkozás" xfId="2" builtinId="8"/>
    <cellStyle name="Normál" xfId="0" builtinId="0"/>
    <cellStyle name="Százalék" xfId="1" builtinId="5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E31DB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5</xdr:row>
      <xdr:rowOff>19049</xdr:rowOff>
    </xdr:from>
    <xdr:to>
      <xdr:col>18</xdr:col>
      <xdr:colOff>66675</xdr:colOff>
      <xdr:row>22</xdr:row>
      <xdr:rowOff>84666</xdr:rowOff>
    </xdr:to>
    <xdr:sp macro="" textlink="">
      <xdr:nvSpPr>
        <xdr:cNvPr id="2" name="TextBox 1"/>
        <xdr:cNvSpPr txBox="1"/>
      </xdr:nvSpPr>
      <xdr:spPr>
        <a:xfrm>
          <a:off x="1369836" y="936271"/>
          <a:ext cx="10253839" cy="3184173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Kérjük, figyelmesen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olvassa el az alábbiakat!</a:t>
          </a:r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kalkulátorban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csak a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8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narancssárga</a:t>
          </a:r>
          <a:r>
            <a:rPr lang="hu-HU" sz="14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hátterű cellákat kell kitölteni. A fehér és kék hátterűek maguktól számolódnak, ezeket nem szabad módosítani (védett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cellák)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hu-HU" sz="1400"/>
            <a:t> </a:t>
          </a: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Az ügylethez kapcsolódó adatok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C9-C60-as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cellák, beleértve a hitel és a hitelfelvevőre vonatkozó sajátosságok kiválasztását is) kitöltésével automatikusan számolódnak a különböző állami támogatási jogcímen nyújtható maximális hitelösszegek. Az eredményt az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F3-I20-as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cellák mutatják.  </a:t>
          </a: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Felhívjuk a szíves figyelmet, hogy a kalkulátor kizárólag a támogatástartalom számításának segítségét szolgálja. Mindenképpen szükséges a kapcsolódó termékleírások, jogszabályok és segédletek megismerése.</a:t>
          </a:r>
          <a:r>
            <a:rPr lang="hu-HU" sz="1400"/>
            <a:t> </a:t>
          </a:r>
        </a:p>
        <a:p>
          <a:pPr algn="r"/>
          <a:r>
            <a:rPr lang="hu-HU" sz="1100"/>
            <a:t>2021.04.01.</a:t>
          </a:r>
        </a:p>
        <a:p>
          <a:pPr algn="r"/>
          <a:r>
            <a:rPr lang="hu-HU" sz="1100"/>
            <a:t>Eximbank</a:t>
          </a:r>
          <a:r>
            <a:rPr lang="hu-HU" sz="1100" baseline="0"/>
            <a:t> - Termékfejlesztés</a:t>
          </a:r>
        </a:p>
        <a:p>
          <a:pPr algn="r"/>
          <a:r>
            <a:rPr lang="hu-HU" sz="1100" baseline="0"/>
            <a:t>Kalkulátor verzió: 1.1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competition/state_aid/legislation/reference_rates.html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"/>
  <sheetViews>
    <sheetView showGridLines="0" tabSelected="1" zoomScale="90" zoomScaleNormal="90" workbookViewId="0"/>
  </sheetViews>
  <sheetFormatPr defaultColWidth="9.140625" defaultRowHeight="15" x14ac:dyDescent="0.25"/>
  <cols>
    <col min="1" max="16384" width="9.140625" style="34"/>
  </cols>
  <sheetData/>
  <sheetProtection algorithmName="SHA-512" hashValue="4vp68q3zIvTDjjlohYzo/91yorGB7/fxZM/2dcmJsaCyxId9gJcI5FRx3jMVsNXbZRZXyIRpnkcuJVfhICzJFQ==" saltValue="kmGxJGfZhKF+5KbAfQkRs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AV572"/>
  <sheetViews>
    <sheetView showGridLines="0" zoomScale="90" zoomScaleNormal="90" workbookViewId="0"/>
  </sheetViews>
  <sheetFormatPr defaultRowHeight="15" outlineLevelCol="1" x14ac:dyDescent="0.25"/>
  <cols>
    <col min="1" max="1" width="5.7109375" style="34" customWidth="1"/>
    <col min="2" max="2" width="116" customWidth="1"/>
    <col min="3" max="3" width="21.28515625" customWidth="1"/>
    <col min="4" max="4" width="30.5703125" hidden="1" customWidth="1"/>
    <col min="5" max="5" width="4.85546875" style="59" customWidth="1"/>
    <col min="6" max="6" width="62.5703125" customWidth="1"/>
    <col min="7" max="7" width="23.42578125" customWidth="1"/>
    <col min="8" max="8" width="23.42578125" style="34" customWidth="1"/>
    <col min="9" max="9" width="16.28515625" style="34" customWidth="1"/>
    <col min="10" max="10" width="21.7109375" hidden="1" customWidth="1"/>
    <col min="11" max="11" width="5.7109375" style="34" customWidth="1"/>
    <col min="12" max="12" width="15.42578125" style="20" customWidth="1"/>
    <col min="13" max="13" width="14.85546875" style="9" customWidth="1"/>
    <col min="14" max="14" width="11.7109375" style="20" hidden="1" customWidth="1" outlineLevel="1"/>
    <col min="15" max="15" width="13.7109375" style="9" hidden="1" customWidth="1" outlineLevel="1"/>
    <col min="16" max="16" width="14.5703125" hidden="1" customWidth="1" outlineLevel="1"/>
    <col min="17" max="17" width="14.140625" style="9" hidden="1" customWidth="1" outlineLevel="1"/>
    <col min="18" max="18" width="5.28515625" style="24" hidden="1" customWidth="1" outlineLevel="1"/>
    <col min="19" max="19" width="5.5703125" style="34" customWidth="1" collapsed="1"/>
    <col min="20" max="20" width="17.5703125" customWidth="1"/>
    <col min="21" max="21" width="20.7109375" customWidth="1"/>
    <col min="22" max="22" width="10.42578125" style="20" hidden="1" customWidth="1" outlineLevel="1"/>
    <col min="23" max="23" width="12.7109375" hidden="1" customWidth="1" outlineLevel="1"/>
    <col min="24" max="25" width="11.140625" style="9" hidden="1" customWidth="1" outlineLevel="1"/>
    <col min="26" max="26" width="4.5703125" style="9" hidden="1" customWidth="1" outlineLevel="1"/>
    <col min="27" max="27" width="10.85546875" hidden="1" customWidth="1" outlineLevel="1"/>
    <col min="28" max="28" width="11.28515625" hidden="1" customWidth="1" outlineLevel="1"/>
    <col min="29" max="29" width="11.85546875" hidden="1" customWidth="1" outlineLevel="1"/>
    <col min="30" max="30" width="12.85546875" style="9" hidden="1" customWidth="1" outlineLevel="1"/>
    <col min="31" max="31" width="12.5703125" style="9" hidden="1" customWidth="1" outlineLevel="1"/>
    <col min="32" max="32" width="5.140625" hidden="1" customWidth="1" outlineLevel="1"/>
    <col min="33" max="33" width="5.7109375" customWidth="1" collapsed="1"/>
    <col min="34" max="34" width="3.85546875" hidden="1" customWidth="1"/>
    <col min="35" max="35" width="8.42578125" hidden="1" customWidth="1" outlineLevel="1"/>
    <col min="36" max="36" width="11.5703125" hidden="1" customWidth="1" outlineLevel="1"/>
    <col min="37" max="37" width="18.5703125" hidden="1" customWidth="1" outlineLevel="1"/>
    <col min="38" max="38" width="19.28515625" hidden="1" customWidth="1" outlineLevel="1"/>
    <col min="39" max="39" width="17.28515625" hidden="1" customWidth="1" outlineLevel="1"/>
    <col min="40" max="40" width="18.5703125" hidden="1" customWidth="1" outlineLevel="1"/>
    <col min="41" max="41" width="19.28515625" hidden="1" customWidth="1" outlineLevel="1"/>
    <col min="42" max="42" width="17.28515625" hidden="1" customWidth="1" outlineLevel="1"/>
    <col min="43" max="43" width="5.7109375" customWidth="1" collapsed="1"/>
    <col min="44" max="45" width="14.85546875" hidden="1" customWidth="1" outlineLevel="1"/>
    <col min="46" max="46" width="4.5703125" hidden="1" customWidth="1" outlineLevel="1"/>
    <col min="47" max="47" width="19.85546875" hidden="1" customWidth="1" outlineLevel="1"/>
    <col min="48" max="48" width="9.140625" collapsed="1"/>
  </cols>
  <sheetData>
    <row r="1" spans="1:47" x14ac:dyDescent="0.25">
      <c r="L1" s="164" t="str">
        <f>IF(SUM(M7:M126)&lt;C24,"A folyósítások összege kevesebb, mint a hitelösszeg","A folyósítások összege több, mint a hitelösszeg")</f>
        <v>A folyósítások összege kevesebb, mint a hitelösszeg</v>
      </c>
      <c r="M1" s="164"/>
      <c r="P1" s="4"/>
      <c r="T1" s="164" t="str">
        <f>IF(SUM(U7:U126)&lt;C24,"A törlesztések összege kevesebb, mint a hitelösszeg","A törlesztések összege több, mint a hitelösszeg")</f>
        <v>A törlesztések összege kevesebb, mint a hitelösszeg</v>
      </c>
      <c r="U1" s="164"/>
      <c r="X1" s="28"/>
      <c r="AD1" s="28"/>
      <c r="AM1" s="4"/>
    </row>
    <row r="2" spans="1:47" ht="15" customHeight="1" thickBot="1" x14ac:dyDescent="0.3">
      <c r="D2" s="57"/>
      <c r="F2" s="41"/>
      <c r="G2" s="43"/>
      <c r="H2" s="43"/>
      <c r="I2" s="43"/>
      <c r="L2" s="164"/>
      <c r="M2" s="164"/>
      <c r="N2" s="80"/>
      <c r="O2" s="80"/>
      <c r="P2" s="80"/>
      <c r="Q2" s="80"/>
      <c r="S2" s="4"/>
      <c r="T2" s="164"/>
      <c r="U2" s="164"/>
      <c r="V2" s="81"/>
      <c r="W2" s="81"/>
      <c r="X2" s="81"/>
      <c r="Y2" s="81"/>
      <c r="AA2" s="81"/>
      <c r="AB2" s="81"/>
      <c r="AC2" s="81"/>
      <c r="AD2" s="81"/>
      <c r="AE2" s="81"/>
    </row>
    <row r="3" spans="1:47" ht="17.25" customHeight="1" thickTop="1" x14ac:dyDescent="0.25">
      <c r="B3" s="44" t="s">
        <v>293</v>
      </c>
      <c r="C3" s="79"/>
      <c r="F3" s="179" t="s">
        <v>123</v>
      </c>
      <c r="G3" s="180"/>
      <c r="H3" s="181"/>
      <c r="I3" s="124">
        <f>IF(C9="HUF",C24/C10,C24)</f>
        <v>277777.77777777775</v>
      </c>
      <c r="J3" s="30"/>
      <c r="K3" s="30"/>
      <c r="L3" s="172" t="s">
        <v>277</v>
      </c>
      <c r="M3" s="172" t="s">
        <v>278</v>
      </c>
      <c r="S3" s="72"/>
      <c r="T3" s="172" t="s">
        <v>267</v>
      </c>
      <c r="U3" s="172" t="s">
        <v>126</v>
      </c>
      <c r="V3" s="176" t="s">
        <v>275</v>
      </c>
      <c r="W3" s="176"/>
      <c r="X3" s="176"/>
      <c r="Y3" s="176"/>
      <c r="AA3" s="177" t="s">
        <v>276</v>
      </c>
      <c r="AB3" s="177"/>
      <c r="AC3" s="177"/>
      <c r="AD3" s="177"/>
      <c r="AE3" s="177"/>
      <c r="AF3" s="20"/>
      <c r="AI3" s="1"/>
      <c r="AJ3" s="1"/>
      <c r="AK3" s="178" t="s">
        <v>11</v>
      </c>
      <c r="AL3" s="178"/>
      <c r="AM3" s="178"/>
      <c r="AN3" s="175" t="s">
        <v>10</v>
      </c>
      <c r="AO3" s="175"/>
      <c r="AP3" s="175"/>
      <c r="AR3" s="174" t="s">
        <v>13</v>
      </c>
      <c r="AS3" s="174"/>
      <c r="AU3" s="170" t="s">
        <v>279</v>
      </c>
    </row>
    <row r="4" spans="1:47" ht="15.75" customHeight="1" x14ac:dyDescent="0.25">
      <c r="B4" s="165"/>
      <c r="C4" s="166"/>
      <c r="D4" s="10">
        <v>-0.04</v>
      </c>
      <c r="E4" s="171"/>
      <c r="F4" s="182" t="str">
        <f ca="1">IF(tenylegestt=0,"Az ügylet nem finanszírozható","Ténylegesen felvett hitel támogatástartalma (EUR)")</f>
        <v>Ténylegesen felvett hitel támogatástartalma (EUR)</v>
      </c>
      <c r="G4" s="183"/>
      <c r="H4" s="184"/>
      <c r="I4" s="123">
        <f ca="1">IF(C9="HUF",AR5/C10,AR5)</f>
        <v>167447.72727272761</v>
      </c>
      <c r="J4" s="31"/>
      <c r="K4" s="31"/>
      <c r="L4" s="173"/>
      <c r="M4" s="173"/>
      <c r="P4" s="9" t="s">
        <v>271</v>
      </c>
      <c r="Q4" s="9" t="s">
        <v>273</v>
      </c>
      <c r="S4" s="4"/>
      <c r="T4" s="173"/>
      <c r="U4" s="173"/>
      <c r="V4" s="20" t="s">
        <v>272</v>
      </c>
      <c r="W4" t="s">
        <v>269</v>
      </c>
      <c r="X4" s="9" t="s">
        <v>271</v>
      </c>
      <c r="Y4" s="9" t="s">
        <v>273</v>
      </c>
      <c r="AA4" t="s">
        <v>272</v>
      </c>
      <c r="AB4" t="s">
        <v>270</v>
      </c>
      <c r="AC4" t="s">
        <v>269</v>
      </c>
      <c r="AD4" s="9" t="s">
        <v>268</v>
      </c>
      <c r="AE4" s="9" t="s">
        <v>274</v>
      </c>
      <c r="AI4" s="13" t="s">
        <v>14</v>
      </c>
      <c r="AJ4" s="13" t="s">
        <v>35</v>
      </c>
      <c r="AK4" s="11" t="s">
        <v>9</v>
      </c>
      <c r="AL4" s="11" t="s">
        <v>36</v>
      </c>
      <c r="AM4" s="11" t="s">
        <v>37</v>
      </c>
      <c r="AN4" s="12" t="s">
        <v>9</v>
      </c>
      <c r="AO4" s="12" t="s">
        <v>36</v>
      </c>
      <c r="AP4" s="12" t="s">
        <v>37</v>
      </c>
      <c r="AR4" s="82" t="s">
        <v>38</v>
      </c>
      <c r="AS4" s="82" t="s">
        <v>12</v>
      </c>
      <c r="AU4" s="170"/>
    </row>
    <row r="5" spans="1:47" ht="16.5" thickBot="1" x14ac:dyDescent="0.3">
      <c r="B5" s="44" t="s">
        <v>294</v>
      </c>
      <c r="C5" s="79"/>
      <c r="D5" s="24"/>
      <c r="E5" s="171"/>
      <c r="F5" s="185" t="s">
        <v>124</v>
      </c>
      <c r="G5" s="186"/>
      <c r="H5" s="187"/>
      <c r="I5" s="107">
        <f>I3*C10</f>
        <v>99999999.999999985</v>
      </c>
      <c r="J5" s="30"/>
      <c r="K5" s="30"/>
      <c r="L5" s="16"/>
      <c r="M5" s="16"/>
      <c r="P5" s="17">
        <f ca="1">SUM(P7:P126)</f>
        <v>-11938356.16438356</v>
      </c>
      <c r="Q5" s="17">
        <f>SUM(Q7:Q126)</f>
        <v>-1438356.1643835616</v>
      </c>
      <c r="S5" s="73"/>
      <c r="T5" s="16"/>
      <c r="U5" s="16"/>
      <c r="X5" s="17">
        <f ca="1">SUM(X7:X126)</f>
        <v>0</v>
      </c>
      <c r="Y5" s="17">
        <f>SUM(Y7:Y126)</f>
        <v>0</v>
      </c>
      <c r="AD5" s="17">
        <f ca="1">SUM(AD7:AD126)</f>
        <v>-68538877.957658961</v>
      </c>
      <c r="AE5" s="17">
        <f>SUM(AE7:AE126)</f>
        <v>-8257696.1394769782</v>
      </c>
      <c r="AI5" s="16"/>
      <c r="AJ5" s="16"/>
      <c r="AK5" s="17">
        <f>+AK7</f>
        <v>100000000</v>
      </c>
      <c r="AL5" s="17">
        <f>SUM(AL7:AL126)</f>
        <v>-99999999.999999821</v>
      </c>
      <c r="AM5" s="17">
        <f ca="1">SUM(AM7:AM126)</f>
        <v>-68538877.957658961</v>
      </c>
      <c r="AN5" s="18">
        <f>+AN7</f>
        <v>100000000</v>
      </c>
      <c r="AO5" s="17">
        <f>SUM(AO7:AO126)</f>
        <v>-99999999.999999821</v>
      </c>
      <c r="AP5" s="17">
        <f>SUM(AP7:AP126)</f>
        <v>-8257696.1394769782</v>
      </c>
      <c r="AR5" s="19">
        <f ca="1">SUM(AR7:AR126)</f>
        <v>60281181.818181939</v>
      </c>
      <c r="AS5" s="19">
        <f ca="1">SUM(AS7:AS126)</f>
        <v>53541098.626744486</v>
      </c>
      <c r="AU5" s="19">
        <f ca="1">AS5</f>
        <v>53541098.626744486</v>
      </c>
    </row>
    <row r="6" spans="1:47" ht="15.75" thickTop="1" x14ac:dyDescent="0.25">
      <c r="B6" s="165"/>
      <c r="C6" s="166"/>
      <c r="J6" s="32" t="s">
        <v>116</v>
      </c>
      <c r="K6" s="32"/>
      <c r="T6" s="71"/>
      <c r="U6" s="34"/>
      <c r="AI6" s="48">
        <v>0</v>
      </c>
      <c r="AJ6" s="71">
        <f>MAX(C26,MIN(L7:L126))</f>
        <v>43981</v>
      </c>
    </row>
    <row r="7" spans="1:47" ht="15.75" x14ac:dyDescent="0.25">
      <c r="D7" s="8"/>
      <c r="F7" s="167" t="s">
        <v>300</v>
      </c>
      <c r="G7" s="168"/>
      <c r="H7" s="168"/>
      <c r="I7" s="169"/>
      <c r="J7" s="33" t="b">
        <f>AI7&gt;$D$15</f>
        <v>0</v>
      </c>
      <c r="K7" s="33"/>
      <c r="L7" s="87"/>
      <c r="M7" s="86"/>
      <c r="N7" s="20">
        <f>C26</f>
        <v>43981</v>
      </c>
      <c r="O7" s="9">
        <f>IF(ISBLANK(L7),C24,0)</f>
        <v>100000000</v>
      </c>
      <c r="P7" s="9">
        <f t="shared" ref="P7:P38" ca="1" si="0">IF(AND(ISBLANK(L6),AH7&lt;&gt;1),0,IFERROR(-O7*piacikamat/365*(IF(ISBLANK(L7),$C$27,L7)-N7),""))</f>
        <v>-11938356.16438356</v>
      </c>
      <c r="Q7" s="9">
        <f t="shared" ref="Q7:Q38" si="1">IF(AND(ISBLANK(L6),AH7&lt;&gt;1),0,IFERROR(-O7*tenylegeskamat/365*(IF(ISBLANK(L7),$C$27,L7)-N7),""))</f>
        <v>-1438356.1643835616</v>
      </c>
      <c r="R7" s="24">
        <f t="shared" ref="R7:R38" si="2">IFERROR(IF(ISBLANK(L7),$C$27,L7)-N7,"")</f>
        <v>350</v>
      </c>
      <c r="T7" s="88"/>
      <c r="U7" s="86"/>
      <c r="V7" s="20" t="str">
        <f>IF(ISNA(MAX(T6,INDEX(AJ$6:AJ$126,MATCH(T7-1,AJ$6:AJ$126,1)))),"",MAX(T6,INDEX(AJ$6:AJ$126,MATCH(T7-1,AJ$6:AJ$126,1))))</f>
        <v/>
      </c>
      <c r="W7" s="9" t="str">
        <f>IF(ISNA(MIN(IF(OR(ISBLANK(W6),W6=""),INDEX(AK$7:AK$126,MATCH(T7,AJ$7:AJ$126,1)),W6-U6),INDEX(AK$7:AK$126,MATCH(T7,AJ$7:AJ$126,1)))),"",MIN(IF(OR(ISBLANK(W6),W6=""),INDEX(AK$7:AK$126,MATCH(T7,AJ$7:AJ$126,1)),W6-U6),INDEX(AK$7:AK$126,MATCH(T7,AJ$7:AJ$126,1))))</f>
        <v/>
      </c>
      <c r="X7" s="9" t="str">
        <f t="shared" ref="X7:X46" ca="1" si="3">IFERROR(-W7*piacikamat/365*(T7-V7),"")</f>
        <v/>
      </c>
      <c r="Y7" s="9" t="str">
        <f t="shared" ref="Y7:Y46" si="4">IFERROR(-W7*tenylegeskamat/365*(T7-V7),"")</f>
        <v/>
      </c>
      <c r="Z7" s="9" t="str">
        <f t="shared" ref="Z7:Z70" si="5">IFERROR(T7-V7,"")</f>
        <v/>
      </c>
      <c r="AA7" s="74">
        <f>MAX(AJ6,IF(ISNA(INDEX(T$7:T$126,MATCH(AJ7,T$7:T$126,1))),0,INDEX(T$7:T$126,MATCH(AJ7,T$7:T$126,1))))</f>
        <v>43981</v>
      </c>
      <c r="AB7" s="35">
        <f>IF(ISNA(INDEX(U$7:U$126,MATCH(AJ7,T$7:T$126,1))),0,INDEX(U$7:U$126,MATCH(AJ7,T$7:T$126,1)))</f>
        <v>0</v>
      </c>
      <c r="AC7" s="35">
        <f>IF(ISNA(INDEX(W$7:W$126,MATCH(AJ7,T$7:T$126,1))),AK7,INDEX(W$7:W$126,MATCH(AJ7,T$7:T$126,1)))</f>
        <v>100000000</v>
      </c>
      <c r="AD7" s="15">
        <f t="shared" ref="AD7:AD46" ca="1" si="6">IFERROR(-(AC7-AB7)*piacikamat/365*(AJ7-AA7),0)</f>
        <v>-11938356.16438356</v>
      </c>
      <c r="AE7" s="15">
        <f t="shared" ref="AE7:AE46" si="7">IFERROR(-(AC7-AB7)*tenylegeskamat/365*(AJ7-AA7),0)</f>
        <v>-1438356.1643835616</v>
      </c>
      <c r="AF7" s="34">
        <f t="shared" ref="AF7:AF46" si="8">IFERROR(AJ7-AA7,"")</f>
        <v>350</v>
      </c>
      <c r="AH7">
        <v>1</v>
      </c>
      <c r="AI7" s="25">
        <f>+IF(C28-C27&lt;&gt;0,1,"")</f>
        <v>1</v>
      </c>
      <c r="AJ7" s="26">
        <f>C27</f>
        <v>44331</v>
      </c>
      <c r="AK7" s="15">
        <f>IF(+C24&lt;&gt;0,C24,IF(AI7&gt;0,C24*J7,""))</f>
        <v>100000000</v>
      </c>
      <c r="AL7" s="114">
        <f>IF(torlesztes="Egyedi",-SUMIFS(U$7:U$126,T$7:T$126,"&gt;"&amp;AJ6,T$7:T$126,"&lt;="&amp;AJ7),IFERROR(IF(torlesztes="Egyenlő tőke",IF(COUNT($AK$7:AK7)&gt;$D$15,"",-$AK$5/$D$15),0),""))</f>
        <v>-909090.90909090906</v>
      </c>
      <c r="AM7" s="27">
        <f ca="1">SUM(P7:P126)</f>
        <v>-11938356.16438356</v>
      </c>
      <c r="AN7" s="15">
        <f>+AK7</f>
        <v>100000000</v>
      </c>
      <c r="AO7" s="27">
        <f>IF(torlesztes="Egyedi",-SUMIFS(U$7:U$126,T$7:T$126,"&gt;"&amp;AJ6,T$7:T$126,"&lt;="&amp;AJ7),IFERROR(IF(torlesztes="Egyenlő tőke",IF(COUNT($AN$7:AN7)&gt;$D$15,"",-$AK$5/$D$15),0),""))</f>
        <v>-909090.90909090906</v>
      </c>
      <c r="AP7" s="27">
        <f>SUM(Q7:Q126)</f>
        <v>-1438356.1643835616</v>
      </c>
      <c r="AR7" s="27">
        <f ca="1">IFERROR(MAX((ABS(AM7)-ABS(AP7)),0),"")</f>
        <v>10499999.999999998</v>
      </c>
      <c r="AS7" s="27">
        <f ca="1">IFERROR(AR7/(1+($C$11+1%)/365*(AJ7-C25)),"")</f>
        <v>10149830.836152729</v>
      </c>
      <c r="AT7">
        <f t="shared" ref="AT7:AT42" si="9">IFERROR(AJ7-AJ6,"")</f>
        <v>350</v>
      </c>
    </row>
    <row r="8" spans="1:47" ht="15.75" x14ac:dyDescent="0.25">
      <c r="B8" s="101" t="s">
        <v>295</v>
      </c>
      <c r="C8" s="79"/>
      <c r="D8" s="8"/>
      <c r="F8" s="97"/>
      <c r="G8" s="110" t="s">
        <v>289</v>
      </c>
      <c r="H8" s="110" t="s">
        <v>290</v>
      </c>
      <c r="I8" s="111" t="s">
        <v>291</v>
      </c>
      <c r="J8" s="33" t="b">
        <f t="shared" ref="J8:J71" si="10">AI8&gt;$D$15</f>
        <v>0</v>
      </c>
      <c r="K8" s="33"/>
      <c r="L8" s="87"/>
      <c r="M8" s="86"/>
      <c r="N8" s="20" t="str">
        <f>IF(ISBLANK(L7),"",L7)</f>
        <v/>
      </c>
      <c r="O8" s="9">
        <f>IF(ISBLANK(L7),0,M7+O7)</f>
        <v>0</v>
      </c>
      <c r="P8" s="9">
        <f t="shared" si="0"/>
        <v>0</v>
      </c>
      <c r="Q8" s="9">
        <f t="shared" si="1"/>
        <v>0</v>
      </c>
      <c r="R8" s="24" t="str">
        <f t="shared" si="2"/>
        <v/>
      </c>
      <c r="T8" s="88"/>
      <c r="U8" s="86"/>
      <c r="V8" s="20" t="str">
        <f t="shared" ref="V8:V71" si="11">IF(ISNA(MAX(T7,INDEX(AJ$6:AJ$126,MATCH(T8-1,AJ$6:AJ$126,1)))),"",MAX(T7,INDEX(AJ$6:AJ$126,MATCH(T8-1,AJ$6:AJ$126,1))))</f>
        <v/>
      </c>
      <c r="W8" s="9" t="str">
        <f t="shared" ref="W8:W71" si="12">IF(ISNA(MIN(IF(OR(ISBLANK(W7),W7=""),INDEX(AK$7:AK$126,MATCH(T8,AJ$7:AJ$126,1)),W7-U7),INDEX(AK$7:AK$126,MATCH(T8,AJ$7:AJ$126,1)))),"",MIN(IF(OR(ISBLANK(W7),W7=""),INDEX(AK$7:AK$126,MATCH(T8,AJ$7:AJ$126,1)),W7-U7),INDEX(AK$7:AK$126,MATCH(T8,AJ$7:AJ$126,1))))</f>
        <v/>
      </c>
      <c r="X8" s="9" t="str">
        <f t="shared" ca="1" si="3"/>
        <v/>
      </c>
      <c r="Y8" s="9" t="str">
        <f t="shared" si="4"/>
        <v/>
      </c>
      <c r="Z8" s="9" t="str">
        <f t="shared" si="5"/>
        <v/>
      </c>
      <c r="AA8" s="74">
        <f t="shared" ref="AA8:AA71" si="13">MAX(AJ7,IF(ISNA(INDEX(T$7:T$126,MATCH(AJ8,T$7:T$126,1))),0,INDEX(T$7:T$126,MATCH(AJ8,T$7:T$126,1))))</f>
        <v>44331</v>
      </c>
      <c r="AB8" s="35">
        <f t="shared" ref="AB8:AB71" si="14">IF(ISNA(INDEX(U$7:U$126,MATCH(AJ8,T$7:T$126,1))),0,INDEX(U$7:U$126,MATCH(AJ8,T$7:T$126,1)))</f>
        <v>0</v>
      </c>
      <c r="AC8" s="35">
        <f t="shared" ref="AC8:AC71" si="15">IF(ISNA(INDEX(W$7:W$126,MATCH(AJ8,T$7:T$126,1))),AK8,INDEX(W$7:W$126,MATCH(AJ8,T$7:T$126,1)))</f>
        <v>99090909.090909094</v>
      </c>
      <c r="AD8" s="15">
        <f t="shared" ca="1" si="6"/>
        <v>-1047784.5579078455</v>
      </c>
      <c r="AE8" s="15">
        <f t="shared" si="7"/>
        <v>-126239.10336239102</v>
      </c>
      <c r="AF8" s="34">
        <f t="shared" si="8"/>
        <v>31</v>
      </c>
      <c r="AH8">
        <v>2</v>
      </c>
      <c r="AI8" s="25">
        <f>IF(COUNT(AJ8)=1,AI7+1,"")</f>
        <v>2</v>
      </c>
      <c r="AJ8" s="26">
        <f t="shared" ref="AJ8:AJ39" si="16">IF(OR(AJ7=$C$28,AJ7=""),"",IFERROR(IF(EDATE($C$27,(AH8-1)*12/$D$19)&lt;=$C$28,EDATE($C$27,(AH8-1)*12/$D$19),$C$28),""))</f>
        <v>44362</v>
      </c>
      <c r="AK8" s="27">
        <f t="shared" ref="AK8:AK46" si="17">+IF(COUNT(AK7)&lt;&gt;0,SUM(AK7:AL7)*(1-J8),"")</f>
        <v>99090909.090909094</v>
      </c>
      <c r="AL8" s="114">
        <f>IF(torlesztes="Egyedi",-SUMIFS(U$7:U$126,T$7:T$126,"&gt;"&amp;AJ7,T$7:T$126,"&lt;="&amp;AJ8),IFERROR(IF(torlesztes="Egyenlő tőke",IF(COUNT($AK$7:AK8)&gt;$D$15,"",-$AK$5/$D$15),0),""))</f>
        <v>-909090.90909090906</v>
      </c>
      <c r="AM8" s="27">
        <f t="shared" ref="AM8:AM39" ca="1" si="18">IF(torlesztes="Egyedi",SUMIFS(X$7:X$126,T$7:T$126,"&gt;"&amp;AJ7,T$7:T$126,"&lt;="&amp;AJ8)+AD8,IFERROR(-AK8*piacikamat/365*(AJ8-AJ7),""))</f>
        <v>-1047784.5579078455</v>
      </c>
      <c r="AN8" s="27">
        <f t="shared" ref="AN8:AN71" si="19">+IF(COUNT(AN7)&lt;&gt;0,SUM(AN7:AO7)*(1-J8),"")</f>
        <v>99090909.090909094</v>
      </c>
      <c r="AO8" s="27">
        <f>IF(torlesztes="Egyedi",-SUMIFS(U$7:U$126,T$7:T$126,"&gt;"&amp;AJ7,T$7:T$126,"&lt;="&amp;AJ8),IFERROR(IF(torlesztes="Egyenlő tőke",IF(COUNT($AN$7:AN8)&gt;$D$15,"",-$AK$5/$D$15),0),""))</f>
        <v>-909090.90909090906</v>
      </c>
      <c r="AP8" s="27">
        <f t="shared" ref="AP8:AP39" si="20">IF(torlesztes="Egyedi",SUMIFS(Y$7:Y$126,T$7:T$126,"&gt;"&amp;AJ7,T$7:T$126,"&lt;="&amp;AJ8)+AE8,IFERROR(-AN8*tenylegeskamat/365*(AJ8-AJ7),""))</f>
        <v>-126239.10336239102</v>
      </c>
      <c r="AR8" s="27">
        <f t="shared" ref="AR8:AR46" ca="1" si="21">IFERROR(MAX((ABS(AM8)-ABS(AP8)),0),"")</f>
        <v>921545.45454545447</v>
      </c>
      <c r="AS8" s="27">
        <f t="shared" ref="AS8:AS39" ca="1" si="22">IFERROR(AR8/POWER(1+($C$11+1%)/$D$19,AI8-1)/(1+($C$11+1%)/365*($AJ$7-$C$25)),"")</f>
        <v>888258.68214234919</v>
      </c>
      <c r="AT8" s="34">
        <f t="shared" si="9"/>
        <v>31</v>
      </c>
    </row>
    <row r="9" spans="1:47" x14ac:dyDescent="0.25">
      <c r="B9" s="85" t="s">
        <v>302</v>
      </c>
      <c r="C9" s="113" t="s">
        <v>337</v>
      </c>
      <c r="D9" s="94" t="s">
        <v>252</v>
      </c>
      <c r="F9" s="98"/>
      <c r="G9" s="99"/>
      <c r="H9" s="99"/>
      <c r="I9" s="100"/>
      <c r="J9" s="33" t="b">
        <f t="shared" si="10"/>
        <v>0</v>
      </c>
      <c r="K9" s="33"/>
      <c r="L9" s="87"/>
      <c r="M9" s="86"/>
      <c r="N9" s="20" t="str">
        <f t="shared" ref="N9:N72" si="23">IF(ISBLANK(L8),"",L8)</f>
        <v/>
      </c>
      <c r="O9" s="9">
        <f t="shared" ref="O9:O44" si="24">IF(ISBLANK(L8),0,M8+O8)</f>
        <v>0</v>
      </c>
      <c r="P9" s="9">
        <f t="shared" si="0"/>
        <v>0</v>
      </c>
      <c r="Q9" s="9">
        <f t="shared" si="1"/>
        <v>0</v>
      </c>
      <c r="R9" s="24" t="str">
        <f t="shared" si="2"/>
        <v/>
      </c>
      <c r="S9" s="36"/>
      <c r="T9" s="88"/>
      <c r="U9" s="86"/>
      <c r="V9" s="20" t="str">
        <f t="shared" si="11"/>
        <v/>
      </c>
      <c r="W9" s="9" t="str">
        <f t="shared" si="12"/>
        <v/>
      </c>
      <c r="X9" s="9" t="str">
        <f t="shared" ca="1" si="3"/>
        <v/>
      </c>
      <c r="Y9" s="9" t="str">
        <f t="shared" si="4"/>
        <v/>
      </c>
      <c r="Z9" s="9" t="str">
        <f t="shared" si="5"/>
        <v/>
      </c>
      <c r="AA9" s="74">
        <f t="shared" si="13"/>
        <v>44362</v>
      </c>
      <c r="AB9" s="35">
        <f t="shared" si="14"/>
        <v>0</v>
      </c>
      <c r="AC9" s="35">
        <f t="shared" si="15"/>
        <v>98181818.181818187</v>
      </c>
      <c r="AD9" s="15">
        <f t="shared" ca="1" si="6"/>
        <v>-1004682.4408468244</v>
      </c>
      <c r="AE9" s="15">
        <f t="shared" si="7"/>
        <v>-121046.07721046077</v>
      </c>
      <c r="AF9" s="34">
        <f t="shared" si="8"/>
        <v>30</v>
      </c>
      <c r="AH9" s="34">
        <v>3</v>
      </c>
      <c r="AI9" s="25">
        <f t="shared" ref="AI9:AI46" si="25">IF(COUNT(AJ9)=1,AI8+1,"")</f>
        <v>3</v>
      </c>
      <c r="AJ9" s="26">
        <f t="shared" si="16"/>
        <v>44392</v>
      </c>
      <c r="AK9" s="27">
        <f t="shared" si="17"/>
        <v>98181818.181818187</v>
      </c>
      <c r="AL9" s="114">
        <f>IF(torlesztes="Egyedi",-SUMIFS(U$7:U$126,T$7:T$126,"&gt;"&amp;AJ8,T$7:T$126,"&lt;="&amp;AJ9),IFERROR(IF(torlesztes="Egyenlő tőke",IF(COUNT($AK$7:AK9)&gt;$D$15,"",-$AK$5/$D$15),0),""))</f>
        <v>-909090.90909090906</v>
      </c>
      <c r="AM9" s="27">
        <f t="shared" ca="1" si="18"/>
        <v>-1004682.4408468244</v>
      </c>
      <c r="AN9" s="27">
        <f t="shared" si="19"/>
        <v>98181818.181818187</v>
      </c>
      <c r="AO9" s="27">
        <f>IF(torlesztes="Egyedi",-SUMIFS(U$7:U$126,T$7:T$126,"&gt;"&amp;AJ8,T$7:T$126,"&lt;="&amp;AJ9),IFERROR(IF(torlesztes="Egyenlő tőke",IF(COUNT($AN$7:AN9)&gt;$D$15,"",-$AK$5/$D$15),0),""))</f>
        <v>-909090.90909090906</v>
      </c>
      <c r="AP9" s="27">
        <f t="shared" si="20"/>
        <v>-121046.07721046077</v>
      </c>
      <c r="AR9" s="27">
        <f t="shared" ca="1" si="21"/>
        <v>883636.36363636365</v>
      </c>
      <c r="AS9" s="27">
        <f t="shared" ca="1" si="22"/>
        <v>849277.21824354329</v>
      </c>
      <c r="AT9" s="34">
        <f t="shared" si="9"/>
        <v>30</v>
      </c>
    </row>
    <row r="10" spans="1:47" x14ac:dyDescent="0.25">
      <c r="B10" s="84" t="s">
        <v>117</v>
      </c>
      <c r="C10" s="83">
        <v>360</v>
      </c>
      <c r="D10" s="95">
        <f ca="1">+C17/D19</f>
        <v>1.0375000000000001E-2</v>
      </c>
      <c r="F10" s="90" t="s">
        <v>125</v>
      </c>
      <c r="G10" s="91">
        <f>IF(1800000-C40-C41-C42-C45-C46-C47-C48-C49-C50&lt;=0,"Nem jogosult",1800000-C40-C41-C42-C45-C46-C47-C48-C49-C50)</f>
        <v>1800000</v>
      </c>
      <c r="H10" s="92" t="str">
        <f>IF(mezogazdkizarok=0,"Nem releváns",IF(MIN(225000-C40-C45-C49,1800000-C40-C41-C42-C45-C46-C47-C48-C49-C50,270000-C40-C41-C45-C46-C49-C50)&lt;=0,"Nem jogosult",MIN(225000-C40-C45-C49,1800000-C40-C41-C42-C45-C46-C47-C48-C49-C50,270000-C40-C41-C45-C46-C49-C50)))</f>
        <v>Nem releváns</v>
      </c>
      <c r="I10" s="93" t="str">
        <f>IF(halaszatikizarok=0,"Nem releváns",IF(MIN(270000-C41-C46-C50,1800000-C40-C41-C42-C45-C46-C47-C48-C49-C50,270000-C40-C41-C45-C46-C49-C50)&lt;=0,"Nem jogosult",MIN(270000-C41-C46-C50,1800000-C40-C41-C42-C45-C46-C47-C48-C49-C50,270000-C40-C41-C45-C46-C49-C50)))</f>
        <v>Nem releváns</v>
      </c>
      <c r="J10" s="33" t="b">
        <f t="shared" si="10"/>
        <v>0</v>
      </c>
      <c r="K10" s="33"/>
      <c r="L10" s="87"/>
      <c r="M10" s="86"/>
      <c r="N10" s="20" t="str">
        <f t="shared" si="23"/>
        <v/>
      </c>
      <c r="O10" s="9">
        <f t="shared" si="24"/>
        <v>0</v>
      </c>
      <c r="P10" s="9">
        <f t="shared" si="0"/>
        <v>0</v>
      </c>
      <c r="Q10" s="9">
        <f t="shared" si="1"/>
        <v>0</v>
      </c>
      <c r="R10" s="24" t="str">
        <f t="shared" si="2"/>
        <v/>
      </c>
      <c r="S10" s="36"/>
      <c r="T10" s="88"/>
      <c r="U10" s="86"/>
      <c r="V10" s="20" t="str">
        <f t="shared" si="11"/>
        <v/>
      </c>
      <c r="W10" s="9" t="str">
        <f t="shared" si="12"/>
        <v/>
      </c>
      <c r="X10" s="9" t="str">
        <f t="shared" ca="1" si="3"/>
        <v/>
      </c>
      <c r="Y10" s="9" t="str">
        <f t="shared" si="4"/>
        <v/>
      </c>
      <c r="Z10" s="9" t="str">
        <f t="shared" si="5"/>
        <v/>
      </c>
      <c r="AA10" s="74">
        <f t="shared" si="13"/>
        <v>44392</v>
      </c>
      <c r="AB10" s="35">
        <f t="shared" si="14"/>
        <v>0</v>
      </c>
      <c r="AC10" s="35">
        <f t="shared" si="15"/>
        <v>97272727.272727281</v>
      </c>
      <c r="AD10" s="15">
        <f t="shared" ca="1" si="6"/>
        <v>-1028559.1531755917</v>
      </c>
      <c r="AE10" s="15">
        <f t="shared" si="7"/>
        <v>-123922.7895392279</v>
      </c>
      <c r="AF10" s="34">
        <f t="shared" si="8"/>
        <v>31</v>
      </c>
      <c r="AH10" s="34">
        <v>4</v>
      </c>
      <c r="AI10" s="25">
        <f>IF(COUNT(AJ10)=1,AI9+1,"")</f>
        <v>4</v>
      </c>
      <c r="AJ10" s="26">
        <f t="shared" si="16"/>
        <v>44423</v>
      </c>
      <c r="AK10" s="27">
        <f t="shared" si="17"/>
        <v>97272727.272727281</v>
      </c>
      <c r="AL10" s="114">
        <f>IF(torlesztes="Egyedi",-SUMIFS(U$7:U$126,T$7:T$126,"&gt;"&amp;AJ9,T$7:T$126,"&lt;="&amp;AJ10),IFERROR(IF(torlesztes="Egyenlő tőke",IF(COUNT($AK$7:AK10)&gt;$D$15,"",-$AK$5/$D$15),0),""))</f>
        <v>-909090.90909090906</v>
      </c>
      <c r="AM10" s="27">
        <f t="shared" ca="1" si="18"/>
        <v>-1028559.1531755917</v>
      </c>
      <c r="AN10" s="27">
        <f t="shared" si="19"/>
        <v>97272727.272727281</v>
      </c>
      <c r="AO10" s="27">
        <f>IF(torlesztes="Egyedi",-SUMIFS(U$7:U$126,T$7:T$126,"&gt;"&amp;AJ9,T$7:T$126,"&lt;="&amp;AJ10),IFERROR(IF(torlesztes="Egyenlő tőke",IF(COUNT($AN$7:AN10)&gt;$D$15,"",-$AK$5/$D$15),0),""))</f>
        <v>-909090.90909090906</v>
      </c>
      <c r="AP10" s="27">
        <f t="shared" si="20"/>
        <v>-123922.7895392279</v>
      </c>
      <c r="AR10" s="27">
        <f t="shared" ca="1" si="21"/>
        <v>904636.36363636376</v>
      </c>
      <c r="AS10" s="27">
        <f t="shared" ca="1" si="22"/>
        <v>866968.12494751462</v>
      </c>
      <c r="AT10" s="34">
        <f t="shared" si="9"/>
        <v>31</v>
      </c>
    </row>
    <row r="11" spans="1:47" x14ac:dyDescent="0.25">
      <c r="B11" s="108" t="s">
        <v>336</v>
      </c>
      <c r="C11" s="121">
        <v>2.4500000000000001E-2</v>
      </c>
      <c r="D11" s="60"/>
      <c r="J11" s="33" t="b">
        <f t="shared" si="10"/>
        <v>0</v>
      </c>
      <c r="K11" s="33"/>
      <c r="L11" s="87"/>
      <c r="M11" s="86"/>
      <c r="N11" s="20" t="str">
        <f t="shared" si="23"/>
        <v/>
      </c>
      <c r="O11" s="9">
        <f t="shared" si="24"/>
        <v>0</v>
      </c>
      <c r="P11" s="9">
        <f t="shared" si="0"/>
        <v>0</v>
      </c>
      <c r="Q11" s="9">
        <f t="shared" si="1"/>
        <v>0</v>
      </c>
      <c r="R11" s="24" t="str">
        <f t="shared" si="2"/>
        <v/>
      </c>
      <c r="S11" s="36"/>
      <c r="T11" s="88"/>
      <c r="U11" s="86"/>
      <c r="V11" s="20" t="str">
        <f t="shared" si="11"/>
        <v/>
      </c>
      <c r="W11" s="9" t="str">
        <f t="shared" si="12"/>
        <v/>
      </c>
      <c r="X11" s="9" t="str">
        <f t="shared" ca="1" si="3"/>
        <v/>
      </c>
      <c r="Y11" s="9" t="str">
        <f t="shared" si="4"/>
        <v/>
      </c>
      <c r="Z11" s="9" t="str">
        <f t="shared" si="5"/>
        <v/>
      </c>
      <c r="AA11" s="74">
        <f t="shared" si="13"/>
        <v>44423</v>
      </c>
      <c r="AB11" s="35">
        <f t="shared" si="14"/>
        <v>0</v>
      </c>
      <c r="AC11" s="35">
        <f t="shared" si="15"/>
        <v>96363636.363636374</v>
      </c>
      <c r="AD11" s="15">
        <f t="shared" ca="1" si="6"/>
        <v>-1018946.4508094647</v>
      </c>
      <c r="AE11" s="15">
        <f t="shared" si="7"/>
        <v>-122764.63262764635</v>
      </c>
      <c r="AF11" s="34">
        <f t="shared" si="8"/>
        <v>31</v>
      </c>
      <c r="AH11" s="34">
        <v>5</v>
      </c>
      <c r="AI11" s="25">
        <f t="shared" si="25"/>
        <v>5</v>
      </c>
      <c r="AJ11" s="26">
        <f t="shared" si="16"/>
        <v>44454</v>
      </c>
      <c r="AK11" s="27">
        <f t="shared" si="17"/>
        <v>96363636.363636374</v>
      </c>
      <c r="AL11" s="114">
        <f>IF(torlesztes="Egyedi",-SUMIFS(U$7:U$126,T$7:T$126,"&gt;"&amp;AJ10,T$7:T$126,"&lt;="&amp;AJ11),IFERROR(IF(torlesztes="Egyenlő tőke",IF(COUNT($AK$7:AK11)&gt;$D$15,"",-$AK$5/$D$15),0),""))</f>
        <v>-909090.90909090906</v>
      </c>
      <c r="AM11" s="27">
        <f t="shared" ca="1" si="18"/>
        <v>-1018946.4508094647</v>
      </c>
      <c r="AN11" s="27">
        <f t="shared" si="19"/>
        <v>96363636.363636374</v>
      </c>
      <c r="AO11" s="27">
        <f>IF(torlesztes="Egyedi",-SUMIFS(U$7:U$126,T$7:T$126,"&gt;"&amp;AJ10,T$7:T$126,"&lt;="&amp;AJ11),IFERROR(IF(torlesztes="Egyenlő tőke",IF(COUNT($AN$7:AN11)&gt;$D$15,"",-$AK$5/$D$15),0),""))</f>
        <v>-909090.90909090906</v>
      </c>
      <c r="AP11" s="27">
        <f t="shared" si="20"/>
        <v>-122764.63262764635</v>
      </c>
      <c r="AR11" s="27">
        <f t="shared" ca="1" si="21"/>
        <v>896181.81818181835</v>
      </c>
      <c r="AS11" s="27">
        <f t="shared" ca="1" si="22"/>
        <v>856403.45916179346</v>
      </c>
      <c r="AT11" s="34">
        <f t="shared" si="9"/>
        <v>31</v>
      </c>
    </row>
    <row r="12" spans="1:47" x14ac:dyDescent="0.25">
      <c r="B12" s="115" t="s">
        <v>306</v>
      </c>
      <c r="C12" s="116" t="s">
        <v>307</v>
      </c>
      <c r="D12" s="96">
        <v>1E-4</v>
      </c>
      <c r="F12" s="44" t="s">
        <v>322</v>
      </c>
      <c r="G12" s="42"/>
      <c r="J12" s="33" t="b">
        <f t="shared" si="10"/>
        <v>0</v>
      </c>
      <c r="K12" s="33"/>
      <c r="L12" s="87"/>
      <c r="M12" s="86"/>
      <c r="N12" s="20" t="str">
        <f t="shared" si="23"/>
        <v/>
      </c>
      <c r="O12" s="9">
        <f t="shared" si="24"/>
        <v>0</v>
      </c>
      <c r="P12" s="9">
        <f t="shared" si="0"/>
        <v>0</v>
      </c>
      <c r="Q12" s="9">
        <f t="shared" si="1"/>
        <v>0</v>
      </c>
      <c r="R12" s="24" t="str">
        <f t="shared" si="2"/>
        <v/>
      </c>
      <c r="S12" s="36"/>
      <c r="T12" s="88"/>
      <c r="U12" s="86"/>
      <c r="V12" s="20" t="str">
        <f t="shared" si="11"/>
        <v/>
      </c>
      <c r="W12" s="9" t="str">
        <f t="shared" si="12"/>
        <v/>
      </c>
      <c r="X12" s="9" t="str">
        <f t="shared" ca="1" si="3"/>
        <v/>
      </c>
      <c r="Y12" s="9" t="str">
        <f t="shared" si="4"/>
        <v/>
      </c>
      <c r="Z12" s="9" t="str">
        <f t="shared" si="5"/>
        <v/>
      </c>
      <c r="AA12" s="74">
        <f t="shared" si="13"/>
        <v>44454</v>
      </c>
      <c r="AB12" s="35">
        <f t="shared" si="14"/>
        <v>0</v>
      </c>
      <c r="AC12" s="35">
        <f t="shared" si="15"/>
        <v>95454545.454545468</v>
      </c>
      <c r="AD12" s="15">
        <f t="shared" ca="1" si="6"/>
        <v>-976774.59526774602</v>
      </c>
      <c r="AE12" s="15">
        <f t="shared" si="7"/>
        <v>-117683.68617683687</v>
      </c>
      <c r="AF12" s="34">
        <f t="shared" si="8"/>
        <v>30</v>
      </c>
      <c r="AH12" s="34">
        <v>6</v>
      </c>
      <c r="AI12" s="25">
        <f t="shared" si="25"/>
        <v>6</v>
      </c>
      <c r="AJ12" s="26">
        <f t="shared" si="16"/>
        <v>44484</v>
      </c>
      <c r="AK12" s="27">
        <f t="shared" si="17"/>
        <v>95454545.454545468</v>
      </c>
      <c r="AL12" s="114">
        <f>IF(torlesztes="Egyedi",-SUMIFS(U$7:U$126,T$7:T$126,"&gt;"&amp;AJ11,T$7:T$126,"&lt;="&amp;AJ12),IFERROR(IF(torlesztes="Egyenlő tőke",IF(COUNT($AK$7:AK12)&gt;$D$15,"",-$AK$5/$D$15),0),""))</f>
        <v>-909090.90909090906</v>
      </c>
      <c r="AM12" s="27">
        <f t="shared" ca="1" si="18"/>
        <v>-976774.59526774602</v>
      </c>
      <c r="AN12" s="27">
        <f t="shared" si="19"/>
        <v>95454545.454545468</v>
      </c>
      <c r="AO12" s="27">
        <f>IF(torlesztes="Egyedi",-SUMIFS(U$7:U$126,T$7:T$126,"&gt;"&amp;AJ11,T$7:T$126,"&lt;="&amp;AJ12),IFERROR(IF(torlesztes="Egyenlő tőke",IF(COUNT($AN$7:AN12)&gt;$D$15,"",-$AK$5/$D$15),0),""))</f>
        <v>-909090.90909090906</v>
      </c>
      <c r="AP12" s="27">
        <f t="shared" si="20"/>
        <v>-117683.68617683687</v>
      </c>
      <c r="AR12" s="27">
        <f t="shared" ca="1" si="21"/>
        <v>859090.90909090918</v>
      </c>
      <c r="AS12" s="27">
        <f t="shared" ca="1" si="22"/>
        <v>818605.39456659474</v>
      </c>
      <c r="AT12" s="34">
        <f t="shared" si="9"/>
        <v>30</v>
      </c>
    </row>
    <row r="13" spans="1:47" ht="15" customHeight="1" x14ac:dyDescent="0.25">
      <c r="A13" s="59"/>
      <c r="B13" s="117" t="s">
        <v>308</v>
      </c>
      <c r="C13" s="118"/>
      <c r="D13" s="10"/>
      <c r="E13" s="47"/>
      <c r="F13" s="128" t="s">
        <v>323</v>
      </c>
      <c r="G13" s="129">
        <f>C23/IF(C9&lt;&gt;"EUR",arfolyam,1)</f>
        <v>388888.88888888888</v>
      </c>
      <c r="J13" s="33" t="b">
        <f t="shared" si="10"/>
        <v>0</v>
      </c>
      <c r="K13" s="33"/>
      <c r="L13" s="87"/>
      <c r="M13" s="86"/>
      <c r="N13" s="20" t="str">
        <f t="shared" si="23"/>
        <v/>
      </c>
      <c r="O13" s="9">
        <f t="shared" si="24"/>
        <v>0</v>
      </c>
      <c r="P13" s="9">
        <f t="shared" si="0"/>
        <v>0</v>
      </c>
      <c r="Q13" s="9">
        <f t="shared" si="1"/>
        <v>0</v>
      </c>
      <c r="R13" s="24" t="str">
        <f t="shared" si="2"/>
        <v/>
      </c>
      <c r="S13" s="36"/>
      <c r="T13" s="88"/>
      <c r="U13" s="86"/>
      <c r="V13" s="20" t="str">
        <f t="shared" si="11"/>
        <v/>
      </c>
      <c r="W13" s="9" t="str">
        <f t="shared" si="12"/>
        <v/>
      </c>
      <c r="X13" s="9" t="str">
        <f t="shared" ca="1" si="3"/>
        <v/>
      </c>
      <c r="Y13" s="9" t="str">
        <f t="shared" si="4"/>
        <v/>
      </c>
      <c r="Z13" s="9" t="str">
        <f t="shared" si="5"/>
        <v/>
      </c>
      <c r="AA13" s="74">
        <f t="shared" si="13"/>
        <v>44484</v>
      </c>
      <c r="AB13" s="35">
        <f t="shared" si="14"/>
        <v>0</v>
      </c>
      <c r="AC13" s="35">
        <f t="shared" si="15"/>
        <v>94545454.545454562</v>
      </c>
      <c r="AD13" s="15">
        <f t="shared" ca="1" si="6"/>
        <v>-999721.04607721069</v>
      </c>
      <c r="AE13" s="15">
        <f t="shared" si="7"/>
        <v>-120448.31880448319</v>
      </c>
      <c r="AF13" s="34">
        <f t="shared" si="8"/>
        <v>31</v>
      </c>
      <c r="AH13" s="34">
        <v>7</v>
      </c>
      <c r="AI13" s="25">
        <f t="shared" si="25"/>
        <v>7</v>
      </c>
      <c r="AJ13" s="26">
        <f t="shared" si="16"/>
        <v>44515</v>
      </c>
      <c r="AK13" s="27">
        <f t="shared" si="17"/>
        <v>94545454.545454562</v>
      </c>
      <c r="AL13" s="114">
        <f>IF(torlesztes="Egyedi",-SUMIFS(U$7:U$126,T$7:T$126,"&gt;"&amp;AJ12,T$7:T$126,"&lt;="&amp;AJ13),IFERROR(IF(torlesztes="Egyenlő tőke",IF(COUNT($AK$7:AK13)&gt;$D$15,"",-$AK$5/$D$15),0),""))</f>
        <v>-909090.90909090906</v>
      </c>
      <c r="AM13" s="27">
        <f t="shared" ca="1" si="18"/>
        <v>-999721.04607721069</v>
      </c>
      <c r="AN13" s="27">
        <f t="shared" si="19"/>
        <v>94545454.545454562</v>
      </c>
      <c r="AO13" s="27">
        <f>IF(torlesztes="Egyedi",-SUMIFS(U$7:U$126,T$7:T$126,"&gt;"&amp;AJ12,T$7:T$126,"&lt;="&amp;AJ13),IFERROR(IF(torlesztes="Egyenlő tőke",IF(COUNT($AN$7:AN13)&gt;$D$15,"",-$AK$5/$D$15),0),""))</f>
        <v>-909090.90909090906</v>
      </c>
      <c r="AP13" s="27">
        <f t="shared" si="20"/>
        <v>-120448.31880448319</v>
      </c>
      <c r="AR13" s="27">
        <f t="shared" ca="1" si="21"/>
        <v>879272.72727272753</v>
      </c>
      <c r="AS13" s="27">
        <f t="shared" ca="1" si="22"/>
        <v>835434.25099907664</v>
      </c>
      <c r="AT13" s="34">
        <f t="shared" si="9"/>
        <v>31</v>
      </c>
    </row>
    <row r="14" spans="1:47" ht="15" customHeight="1" x14ac:dyDescent="0.25">
      <c r="B14" s="119" t="s">
        <v>309</v>
      </c>
      <c r="C14" s="120" t="s">
        <v>6</v>
      </c>
      <c r="D14" s="78"/>
      <c r="E14" s="47"/>
      <c r="F14" s="128" t="s">
        <v>328</v>
      </c>
      <c r="G14" s="142">
        <f ca="1">I4/eurelszamolhato</f>
        <v>0.43057987012987103</v>
      </c>
      <c r="I14"/>
      <c r="J14" s="33" t="b">
        <f t="shared" si="10"/>
        <v>0</v>
      </c>
      <c r="K14" s="33"/>
      <c r="L14" s="87"/>
      <c r="M14" s="86"/>
      <c r="N14" s="20" t="str">
        <f t="shared" si="23"/>
        <v/>
      </c>
      <c r="O14" s="9">
        <f t="shared" si="24"/>
        <v>0</v>
      </c>
      <c r="P14" s="9">
        <f t="shared" si="0"/>
        <v>0</v>
      </c>
      <c r="Q14" s="9">
        <f t="shared" si="1"/>
        <v>0</v>
      </c>
      <c r="R14" s="24" t="str">
        <f t="shared" si="2"/>
        <v/>
      </c>
      <c r="S14" s="36"/>
      <c r="T14" s="88"/>
      <c r="U14" s="86"/>
      <c r="V14" s="20" t="str">
        <f t="shared" si="11"/>
        <v/>
      </c>
      <c r="W14" s="9" t="str">
        <f t="shared" si="12"/>
        <v/>
      </c>
      <c r="X14" s="9" t="str">
        <f t="shared" ca="1" si="3"/>
        <v/>
      </c>
      <c r="Y14" s="9" t="str">
        <f t="shared" si="4"/>
        <v/>
      </c>
      <c r="Z14" s="9" t="str">
        <f t="shared" si="5"/>
        <v/>
      </c>
      <c r="AA14" s="74">
        <f t="shared" si="13"/>
        <v>44515</v>
      </c>
      <c r="AB14" s="35">
        <f t="shared" si="14"/>
        <v>0</v>
      </c>
      <c r="AC14" s="35">
        <f t="shared" si="15"/>
        <v>93636363.636363655</v>
      </c>
      <c r="AD14" s="15">
        <f t="shared" ca="1" si="6"/>
        <v>-958169.36488169385</v>
      </c>
      <c r="AE14" s="15">
        <f t="shared" si="7"/>
        <v>-115442.09215442094</v>
      </c>
      <c r="AF14" s="34">
        <f t="shared" si="8"/>
        <v>30</v>
      </c>
      <c r="AH14" s="34">
        <v>8</v>
      </c>
      <c r="AI14" s="25">
        <f t="shared" si="25"/>
        <v>8</v>
      </c>
      <c r="AJ14" s="26">
        <f t="shared" si="16"/>
        <v>44545</v>
      </c>
      <c r="AK14" s="27">
        <f t="shared" si="17"/>
        <v>93636363.636363655</v>
      </c>
      <c r="AL14" s="114">
        <f>IF(torlesztes="Egyedi",-SUMIFS(U$7:U$126,T$7:T$126,"&gt;"&amp;AJ13,T$7:T$126,"&lt;="&amp;AJ14),IFERROR(IF(torlesztes="Egyenlő tőke",IF(COUNT($AK$7:AK14)&gt;$D$15,"",-$AK$5/$D$15),0),""))</f>
        <v>-909090.90909090906</v>
      </c>
      <c r="AM14" s="27">
        <f t="shared" ca="1" si="18"/>
        <v>-958169.36488169385</v>
      </c>
      <c r="AN14" s="27">
        <f t="shared" si="19"/>
        <v>93636363.636363655</v>
      </c>
      <c r="AO14" s="27">
        <f>IF(torlesztes="Egyedi",-SUMIFS(U$7:U$126,T$7:T$126,"&gt;"&amp;AJ13,T$7:T$126,"&lt;="&amp;AJ14),IFERROR(IF(torlesztes="Egyenlő tőke",IF(COUNT($AN$7:AN14)&gt;$D$15,"",-$AK$5/$D$15),0),""))</f>
        <v>-909090.90909090906</v>
      </c>
      <c r="AP14" s="27">
        <f t="shared" si="20"/>
        <v>-115442.09215442094</v>
      </c>
      <c r="AR14" s="27">
        <f t="shared" ca="1" si="21"/>
        <v>842727.27272727294</v>
      </c>
      <c r="AS14" s="27">
        <f t="shared" ca="1" si="22"/>
        <v>798415.42277711711</v>
      </c>
      <c r="AT14" s="34">
        <f t="shared" si="9"/>
        <v>30</v>
      </c>
    </row>
    <row r="15" spans="1:47" ht="15" customHeight="1" x14ac:dyDescent="0.25">
      <c r="B15" s="119" t="s">
        <v>7</v>
      </c>
      <c r="C15" s="120" t="s">
        <v>2</v>
      </c>
      <c r="D15" s="22">
        <f>COUNT(AI7:AI126)</f>
        <v>110</v>
      </c>
      <c r="E15" s="47"/>
      <c r="F15" s="128" t="s">
        <v>324</v>
      </c>
      <c r="G15" s="129">
        <f ca="1">I4+IF(C34="ABER, HALÁSZAT, Egyéb GBER jogcímek",SUM(C45:C50)+C60,IF(C34="GBER 14, 17-es jogcímek",SUM(C45:C50)+C53+C55,SUM(C45:C50)))</f>
        <v>167447.72727272761</v>
      </c>
      <c r="I15"/>
      <c r="J15" s="33" t="b">
        <f t="shared" si="10"/>
        <v>0</v>
      </c>
      <c r="K15" s="33"/>
      <c r="L15" s="87"/>
      <c r="M15" s="86"/>
      <c r="N15" s="20" t="str">
        <f t="shared" si="23"/>
        <v/>
      </c>
      <c r="O15" s="9">
        <f t="shared" si="24"/>
        <v>0</v>
      </c>
      <c r="P15" s="9">
        <f t="shared" si="0"/>
        <v>0</v>
      </c>
      <c r="Q15" s="9">
        <f t="shared" si="1"/>
        <v>0</v>
      </c>
      <c r="R15" s="24" t="str">
        <f t="shared" si="2"/>
        <v/>
      </c>
      <c r="S15" s="36"/>
      <c r="T15" s="88"/>
      <c r="U15" s="86"/>
      <c r="V15" s="20" t="str">
        <f t="shared" si="11"/>
        <v/>
      </c>
      <c r="W15" s="9" t="str">
        <f t="shared" si="12"/>
        <v/>
      </c>
      <c r="X15" s="9" t="str">
        <f t="shared" ca="1" si="3"/>
        <v/>
      </c>
      <c r="Y15" s="9" t="str">
        <f t="shared" si="4"/>
        <v/>
      </c>
      <c r="Z15" s="9" t="str">
        <f t="shared" si="5"/>
        <v/>
      </c>
      <c r="AA15" s="74">
        <f t="shared" si="13"/>
        <v>44545</v>
      </c>
      <c r="AB15" s="35">
        <f t="shared" si="14"/>
        <v>0</v>
      </c>
      <c r="AC15" s="35">
        <f t="shared" si="15"/>
        <v>92727272.727272749</v>
      </c>
      <c r="AD15" s="15">
        <f t="shared" ca="1" si="6"/>
        <v>-980495.6413449567</v>
      </c>
      <c r="AE15" s="15">
        <f t="shared" si="7"/>
        <v>-118132.00498132009</v>
      </c>
      <c r="AF15" s="34">
        <f t="shared" si="8"/>
        <v>31</v>
      </c>
      <c r="AH15" s="34">
        <v>9</v>
      </c>
      <c r="AI15" s="25">
        <f t="shared" si="25"/>
        <v>9</v>
      </c>
      <c r="AJ15" s="26">
        <f t="shared" si="16"/>
        <v>44576</v>
      </c>
      <c r="AK15" s="27">
        <f t="shared" si="17"/>
        <v>92727272.727272749</v>
      </c>
      <c r="AL15" s="114">
        <f>IF(torlesztes="Egyedi",-SUMIFS(U$7:U$126,T$7:T$126,"&gt;"&amp;AJ14,T$7:T$126,"&lt;="&amp;AJ15),IFERROR(IF(torlesztes="Egyenlő tőke",IF(COUNT($AK$7:AK15)&gt;$D$15,"",-$AK$5/$D$15),0),""))</f>
        <v>-909090.90909090906</v>
      </c>
      <c r="AM15" s="27">
        <f t="shared" ca="1" si="18"/>
        <v>-980495.6413449567</v>
      </c>
      <c r="AN15" s="27">
        <f t="shared" si="19"/>
        <v>92727272.727272749</v>
      </c>
      <c r="AO15" s="27">
        <f>IF(torlesztes="Egyedi",-SUMIFS(U$7:U$126,T$7:T$126,"&gt;"&amp;AJ14,T$7:T$126,"&lt;="&amp;AJ15),IFERROR(IF(torlesztes="Egyenlő tőke",IF(COUNT($AN$7:AN15)&gt;$D$15,"",-$AK$5/$D$15),0),""))</f>
        <v>-909090.90909090906</v>
      </c>
      <c r="AP15" s="27">
        <f t="shared" si="20"/>
        <v>-118132.00498132009</v>
      </c>
      <c r="AR15" s="27">
        <f t="shared" ca="1" si="21"/>
        <v>862363.63636363659</v>
      </c>
      <c r="AS15" s="27">
        <f t="shared" ca="1" si="22"/>
        <v>814677.08068146929</v>
      </c>
      <c r="AT15" s="34">
        <f t="shared" si="9"/>
        <v>31</v>
      </c>
    </row>
    <row r="16" spans="1:47" ht="15" customHeight="1" x14ac:dyDescent="0.25">
      <c r="B16" s="14" t="s">
        <v>304</v>
      </c>
      <c r="C16" s="109">
        <f ca="1">IF(C12="Van",OFFSET(Adatok!$E$4,MATCH(C14,Adatok!$E$5:$E$9,0),MATCH(C15,Adatok!$F$4:$H$4,0),),MAX(OFFSET(Adatok!$E$4,MATCH(C14,Adatok!$E$5:$E$9,0),MATCH(C15,Adatok!$F$4:$H$4,0),),400))</f>
        <v>1000</v>
      </c>
      <c r="F16" s="130" t="s">
        <v>325</v>
      </c>
      <c r="G16" s="131">
        <f ca="1">G15/eurelszamolhato</f>
        <v>0.43057987012987103</v>
      </c>
      <c r="I16"/>
      <c r="J16" s="33" t="b">
        <f t="shared" si="10"/>
        <v>0</v>
      </c>
      <c r="K16" s="33"/>
      <c r="L16" s="87"/>
      <c r="M16" s="86"/>
      <c r="N16" s="20" t="str">
        <f t="shared" si="23"/>
        <v/>
      </c>
      <c r="O16" s="9">
        <f t="shared" si="24"/>
        <v>0</v>
      </c>
      <c r="P16" s="9">
        <f t="shared" si="0"/>
        <v>0</v>
      </c>
      <c r="Q16" s="9">
        <f t="shared" si="1"/>
        <v>0</v>
      </c>
      <c r="R16" s="24" t="str">
        <f t="shared" si="2"/>
        <v/>
      </c>
      <c r="S16" s="36"/>
      <c r="T16" s="88"/>
      <c r="U16" s="86"/>
      <c r="V16" s="20" t="str">
        <f t="shared" si="11"/>
        <v/>
      </c>
      <c r="W16" s="9" t="str">
        <f t="shared" si="12"/>
        <v/>
      </c>
      <c r="X16" s="9" t="str">
        <f t="shared" ca="1" si="3"/>
        <v/>
      </c>
      <c r="Y16" s="9" t="str">
        <f t="shared" si="4"/>
        <v/>
      </c>
      <c r="Z16" s="9" t="str">
        <f t="shared" si="5"/>
        <v/>
      </c>
      <c r="AA16" s="74">
        <f t="shared" si="13"/>
        <v>44576</v>
      </c>
      <c r="AB16" s="35">
        <f t="shared" si="14"/>
        <v>0</v>
      </c>
      <c r="AC16" s="35">
        <f t="shared" si="15"/>
        <v>91818181.818181843</v>
      </c>
      <c r="AD16" s="15">
        <f t="shared" ca="1" si="6"/>
        <v>-970882.93897882954</v>
      </c>
      <c r="AE16" s="15">
        <f t="shared" si="7"/>
        <v>-116973.84806973851</v>
      </c>
      <c r="AF16" s="34">
        <f t="shared" si="8"/>
        <v>31</v>
      </c>
      <c r="AH16" s="34">
        <v>10</v>
      </c>
      <c r="AI16" s="25">
        <f>IF(COUNT(AJ16)=1,AI15+1,"")</f>
        <v>10</v>
      </c>
      <c r="AJ16" s="26">
        <f t="shared" si="16"/>
        <v>44607</v>
      </c>
      <c r="AK16" s="27">
        <f t="shared" si="17"/>
        <v>91818181.818181843</v>
      </c>
      <c r="AL16" s="114">
        <f>IF(torlesztes="Egyedi",-SUMIFS(U$7:U$126,T$7:T$126,"&gt;"&amp;AJ15,T$7:T$126,"&lt;="&amp;AJ16),IFERROR(IF(torlesztes="Egyenlő tőke",IF(COUNT($AK$7:AK16)&gt;$D$15,"",-$AK$5/$D$15),0),""))</f>
        <v>-909090.90909090906</v>
      </c>
      <c r="AM16" s="27">
        <f t="shared" ca="1" si="18"/>
        <v>-970882.93897882954</v>
      </c>
      <c r="AN16" s="27">
        <f t="shared" si="19"/>
        <v>91818181.818181843</v>
      </c>
      <c r="AO16" s="27">
        <f>IF(torlesztes="Egyedi",-SUMIFS(U$7:U$126,T$7:T$126,"&gt;"&amp;AJ15,T$7:T$126,"&lt;="&amp;AJ16),IFERROR(IF(torlesztes="Egyenlő tőke",IF(COUNT($AN$7:AN16)&gt;$D$15,"",-$AK$5/$D$15),0),""))</f>
        <v>-909090.90909090906</v>
      </c>
      <c r="AP16" s="27">
        <f t="shared" si="20"/>
        <v>-116973.84806973851</v>
      </c>
      <c r="AR16" s="27">
        <f t="shared" ca="1" si="21"/>
        <v>853909.09090909106</v>
      </c>
      <c r="AS16" s="27">
        <f t="shared" ca="1" si="22"/>
        <v>804377.46526606986</v>
      </c>
      <c r="AT16" s="34">
        <f t="shared" si="9"/>
        <v>31</v>
      </c>
    </row>
    <row r="17" spans="1:46" ht="15" customHeight="1" x14ac:dyDescent="0.25">
      <c r="A17" s="38"/>
      <c r="B17" s="14" t="s">
        <v>305</v>
      </c>
      <c r="C17" s="69">
        <f ca="1">+(C11+C16/10000)</f>
        <v>0.1245</v>
      </c>
      <c r="D17" s="20"/>
      <c r="F17" s="34"/>
      <c r="G17" s="34"/>
      <c r="I17"/>
      <c r="J17" s="33" t="b">
        <f t="shared" si="10"/>
        <v>0</v>
      </c>
      <c r="K17" s="33"/>
      <c r="L17" s="87"/>
      <c r="M17" s="86"/>
      <c r="N17" s="20" t="str">
        <f t="shared" si="23"/>
        <v/>
      </c>
      <c r="O17" s="9">
        <f t="shared" si="24"/>
        <v>0</v>
      </c>
      <c r="P17" s="9">
        <f t="shared" si="0"/>
        <v>0</v>
      </c>
      <c r="Q17" s="9">
        <f t="shared" si="1"/>
        <v>0</v>
      </c>
      <c r="R17" s="24" t="str">
        <f t="shared" si="2"/>
        <v/>
      </c>
      <c r="S17" s="36"/>
      <c r="T17" s="88"/>
      <c r="U17" s="86"/>
      <c r="V17" s="20" t="str">
        <f t="shared" si="11"/>
        <v/>
      </c>
      <c r="W17" s="9" t="str">
        <f t="shared" si="12"/>
        <v/>
      </c>
      <c r="X17" s="9" t="str">
        <f t="shared" ca="1" si="3"/>
        <v/>
      </c>
      <c r="Y17" s="9" t="str">
        <f t="shared" si="4"/>
        <v/>
      </c>
      <c r="Z17" s="9" t="str">
        <f t="shared" si="5"/>
        <v/>
      </c>
      <c r="AA17" s="74">
        <f t="shared" si="13"/>
        <v>44607</v>
      </c>
      <c r="AB17" s="35">
        <f t="shared" si="14"/>
        <v>0</v>
      </c>
      <c r="AC17" s="35">
        <f t="shared" si="15"/>
        <v>90909090.909090936</v>
      </c>
      <c r="AD17" s="15">
        <f t="shared" ca="1" si="6"/>
        <v>-868244.0846824412</v>
      </c>
      <c r="AE17" s="15">
        <f t="shared" si="7"/>
        <v>-104607.72104607723</v>
      </c>
      <c r="AF17" s="34">
        <f t="shared" si="8"/>
        <v>28</v>
      </c>
      <c r="AH17" s="34">
        <v>11</v>
      </c>
      <c r="AI17" s="25">
        <f>IF(COUNT(AJ17)=1,AI16+1,"")</f>
        <v>11</v>
      </c>
      <c r="AJ17" s="26">
        <f t="shared" si="16"/>
        <v>44635</v>
      </c>
      <c r="AK17" s="27">
        <f t="shared" si="17"/>
        <v>90909090.909090936</v>
      </c>
      <c r="AL17" s="114">
        <f>IF(torlesztes="Egyedi",-SUMIFS(U$7:U$126,T$7:T$126,"&gt;"&amp;AJ16,T$7:T$126,"&lt;="&amp;AJ17),IFERROR(IF(torlesztes="Egyenlő tőke",IF(COUNT($AK$7:AK17)&gt;$D$15,"",-$AK$5/$D$15),0),""))</f>
        <v>-909090.90909090906</v>
      </c>
      <c r="AM17" s="27">
        <f t="shared" ca="1" si="18"/>
        <v>-868244.0846824412</v>
      </c>
      <c r="AN17" s="27">
        <f t="shared" si="19"/>
        <v>90909090.909090936</v>
      </c>
      <c r="AO17" s="27">
        <f>IF(torlesztes="Egyedi",-SUMIFS(U$7:U$126,T$7:T$126,"&gt;"&amp;AJ16,T$7:T$126,"&lt;="&amp;AJ17),IFERROR(IF(torlesztes="Egyenlő tőke",IF(COUNT($AN$7:AN17)&gt;$D$15,"",-$AK$5/$D$15),0),""))</f>
        <v>-909090.90909090906</v>
      </c>
      <c r="AP17" s="27">
        <f t="shared" si="20"/>
        <v>-104607.72104607723</v>
      </c>
      <c r="AR17" s="27">
        <f t="shared" ca="1" si="21"/>
        <v>763636.363636364</v>
      </c>
      <c r="AS17" s="27">
        <f t="shared" ca="1" si="22"/>
        <v>717278.89718687523</v>
      </c>
      <c r="AT17" s="34">
        <f t="shared" si="9"/>
        <v>28</v>
      </c>
    </row>
    <row r="18" spans="1:46" ht="15" customHeight="1" x14ac:dyDescent="0.25">
      <c r="E18" s="47"/>
      <c r="F18" s="132" t="s">
        <v>326</v>
      </c>
      <c r="G18" s="159" t="str">
        <f ca="1">IF(G16&gt;G20,"Nem finanszírozható","")</f>
        <v/>
      </c>
      <c r="H18" s="158" t="str">
        <f ca="1">IF(G16&gt;H20,"Nem finanszírozható","")</f>
        <v>Nem finanszírozható</v>
      </c>
      <c r="I18"/>
      <c r="J18" s="33" t="b">
        <f t="shared" si="10"/>
        <v>0</v>
      </c>
      <c r="K18" s="33"/>
      <c r="L18" s="87"/>
      <c r="M18" s="86"/>
      <c r="N18" s="20" t="str">
        <f t="shared" si="23"/>
        <v/>
      </c>
      <c r="O18" s="9">
        <f t="shared" si="24"/>
        <v>0</v>
      </c>
      <c r="P18" s="9">
        <f t="shared" si="0"/>
        <v>0</v>
      </c>
      <c r="Q18" s="9">
        <f t="shared" si="1"/>
        <v>0</v>
      </c>
      <c r="R18" s="24" t="str">
        <f t="shared" si="2"/>
        <v/>
      </c>
      <c r="S18" s="36"/>
      <c r="T18" s="88"/>
      <c r="U18" s="86"/>
      <c r="V18" s="20" t="str">
        <f t="shared" si="11"/>
        <v/>
      </c>
      <c r="W18" s="9" t="str">
        <f t="shared" si="12"/>
        <v/>
      </c>
      <c r="X18" s="9" t="str">
        <f t="shared" ca="1" si="3"/>
        <v/>
      </c>
      <c r="Y18" s="9" t="str">
        <f t="shared" si="4"/>
        <v/>
      </c>
      <c r="Z18" s="9" t="str">
        <f t="shared" si="5"/>
        <v/>
      </c>
      <c r="AA18" s="74">
        <f t="shared" si="13"/>
        <v>44635</v>
      </c>
      <c r="AB18" s="35">
        <f t="shared" si="14"/>
        <v>0</v>
      </c>
      <c r="AC18" s="35">
        <f t="shared" si="15"/>
        <v>90000000.00000003</v>
      </c>
      <c r="AD18" s="15">
        <f t="shared" ca="1" si="6"/>
        <v>-951657.53424657567</v>
      </c>
      <c r="AE18" s="15">
        <f t="shared" si="7"/>
        <v>-114657.53424657538</v>
      </c>
      <c r="AF18" s="34">
        <f t="shared" si="8"/>
        <v>31</v>
      </c>
      <c r="AH18" s="34">
        <v>12</v>
      </c>
      <c r="AI18" s="25">
        <f t="shared" si="25"/>
        <v>12</v>
      </c>
      <c r="AJ18" s="26">
        <f t="shared" si="16"/>
        <v>44666</v>
      </c>
      <c r="AK18" s="27">
        <f t="shared" si="17"/>
        <v>90000000.00000003</v>
      </c>
      <c r="AL18" s="114">
        <f>IF(torlesztes="Egyedi",-SUMIFS(U$7:U$126,T$7:T$126,"&gt;"&amp;AJ17,T$7:T$126,"&lt;="&amp;AJ18),IFERROR(IF(torlesztes="Egyenlő tőke",IF(COUNT($AK$7:AK18)&gt;$D$15,"",-$AK$5/$D$15),0),""))</f>
        <v>-909090.90909090906</v>
      </c>
      <c r="AM18" s="27">
        <f t="shared" ca="1" si="18"/>
        <v>-951657.53424657567</v>
      </c>
      <c r="AN18" s="27">
        <f t="shared" si="19"/>
        <v>90000000.00000003</v>
      </c>
      <c r="AO18" s="27">
        <f>IF(torlesztes="Egyedi",-SUMIFS(U$7:U$126,T$7:T$126,"&gt;"&amp;AJ17,T$7:T$126,"&lt;="&amp;AJ18),IFERROR(IF(torlesztes="Egyenlő tőke",IF(COUNT($AN$7:AN18)&gt;$D$15,"",-$AK$5/$D$15),0),""))</f>
        <v>-909090.90909090906</v>
      </c>
      <c r="AP18" s="27">
        <f t="shared" si="20"/>
        <v>-114657.53424657538</v>
      </c>
      <c r="AR18" s="27">
        <f t="shared" ca="1" si="21"/>
        <v>837000.00000000023</v>
      </c>
      <c r="AS18" s="27">
        <f t="shared" ca="1" si="22"/>
        <v>783935.09213387221</v>
      </c>
      <c r="AT18" s="34">
        <f t="shared" si="9"/>
        <v>31</v>
      </c>
    </row>
    <row r="19" spans="1:46" ht="16.5" thickBot="1" x14ac:dyDescent="0.3">
      <c r="B19" s="101" t="s">
        <v>296</v>
      </c>
      <c r="C19" s="79"/>
      <c r="D19" s="23">
        <f>VLOOKUP($C$31,Adatok!P3:Q5,2,0)</f>
        <v>12</v>
      </c>
      <c r="E19"/>
      <c r="F19" s="133"/>
      <c r="G19" s="134" t="s">
        <v>122</v>
      </c>
      <c r="H19" s="134" t="s">
        <v>247</v>
      </c>
      <c r="I19"/>
      <c r="J19" s="33" t="b">
        <f t="shared" si="10"/>
        <v>0</v>
      </c>
      <c r="K19" s="33"/>
      <c r="L19" s="87"/>
      <c r="M19" s="86"/>
      <c r="N19" s="20" t="str">
        <f t="shared" si="23"/>
        <v/>
      </c>
      <c r="O19" s="9">
        <f t="shared" si="24"/>
        <v>0</v>
      </c>
      <c r="P19" s="9">
        <f t="shared" si="0"/>
        <v>0</v>
      </c>
      <c r="Q19" s="9">
        <f t="shared" si="1"/>
        <v>0</v>
      </c>
      <c r="R19" s="24" t="str">
        <f t="shared" si="2"/>
        <v/>
      </c>
      <c r="S19" s="36"/>
      <c r="T19" s="88"/>
      <c r="U19" s="86"/>
      <c r="V19" s="20" t="str">
        <f t="shared" si="11"/>
        <v/>
      </c>
      <c r="W19" s="9" t="str">
        <f t="shared" si="12"/>
        <v/>
      </c>
      <c r="X19" s="9" t="str">
        <f t="shared" ca="1" si="3"/>
        <v/>
      </c>
      <c r="Y19" s="9" t="str">
        <f t="shared" si="4"/>
        <v/>
      </c>
      <c r="Z19" s="9" t="str">
        <f t="shared" si="5"/>
        <v/>
      </c>
      <c r="AA19" s="74">
        <f t="shared" si="13"/>
        <v>44666</v>
      </c>
      <c r="AB19" s="35">
        <f t="shared" si="14"/>
        <v>0</v>
      </c>
      <c r="AC19" s="35">
        <f t="shared" si="15"/>
        <v>89090909.090909123</v>
      </c>
      <c r="AD19" s="15">
        <f t="shared" ca="1" si="6"/>
        <v>-911656.28891656315</v>
      </c>
      <c r="AE19" s="15">
        <f t="shared" si="7"/>
        <v>-109838.10709838109</v>
      </c>
      <c r="AF19" s="34">
        <f t="shared" si="8"/>
        <v>30</v>
      </c>
      <c r="AH19" s="34">
        <v>13</v>
      </c>
      <c r="AI19" s="25">
        <f t="shared" si="25"/>
        <v>13</v>
      </c>
      <c r="AJ19" s="26">
        <f t="shared" si="16"/>
        <v>44696</v>
      </c>
      <c r="AK19" s="27">
        <f t="shared" si="17"/>
        <v>89090909.090909123</v>
      </c>
      <c r="AL19" s="114">
        <f>IF(torlesztes="Egyedi",-SUMIFS(U$7:U$126,T$7:T$126,"&gt;"&amp;AJ18,T$7:T$126,"&lt;="&amp;AJ19),IFERROR(IF(torlesztes="Egyenlő tőke",IF(COUNT($AK$7:AK19)&gt;$D$15,"",-$AK$5/$D$15),0),""))</f>
        <v>-909090.90909090906</v>
      </c>
      <c r="AM19" s="27">
        <f t="shared" ca="1" si="18"/>
        <v>-911656.28891656315</v>
      </c>
      <c r="AN19" s="27">
        <f t="shared" si="19"/>
        <v>89090909.090909123</v>
      </c>
      <c r="AO19" s="27">
        <f>IF(torlesztes="Egyedi",-SUMIFS(U$7:U$126,T$7:T$126,"&gt;"&amp;AJ18,T$7:T$126,"&lt;="&amp;AJ19),IFERROR(IF(torlesztes="Egyenlő tőke",IF(COUNT($AN$7:AN19)&gt;$D$15,"",-$AK$5/$D$15),0),""))</f>
        <v>-909090.90909090906</v>
      </c>
      <c r="AP19" s="27">
        <f t="shared" si="20"/>
        <v>-109838.10709838109</v>
      </c>
      <c r="AR19" s="27">
        <f t="shared" ca="1" si="21"/>
        <v>801818.18181818211</v>
      </c>
      <c r="AS19" s="27">
        <f t="shared" ca="1" si="22"/>
        <v>748830.87495999795</v>
      </c>
      <c r="AT19" s="34">
        <f t="shared" si="9"/>
        <v>30</v>
      </c>
    </row>
    <row r="20" spans="1:46" ht="15.75" thickBot="1" x14ac:dyDescent="0.3">
      <c r="B20" s="102" t="s">
        <v>303</v>
      </c>
      <c r="C20" s="146" t="s">
        <v>30</v>
      </c>
      <c r="D20" s="77"/>
      <c r="F20" s="135" t="s">
        <v>327</v>
      </c>
      <c r="G20" s="136">
        <f>IF(tizennegyeskizarok=0,"Nem jogosult",IF(ttmax14es=0,0,(G22+C53+C48)/(forintelszamolhato/arfolyam)))</f>
        <v>0.55000000000000004</v>
      </c>
      <c r="H20" s="137">
        <f>IF(tizenheteskizarok=0,"Nem jogosult",IF(ttmax17es=0,0,(H22+C55+C48)/(eurelszamolhato)))</f>
        <v>0.2</v>
      </c>
      <c r="I20"/>
      <c r="J20" s="33" t="b">
        <f t="shared" si="10"/>
        <v>0</v>
      </c>
      <c r="K20" s="33"/>
      <c r="L20" s="87"/>
      <c r="M20" s="86"/>
      <c r="N20" s="20" t="str">
        <f t="shared" si="23"/>
        <v/>
      </c>
      <c r="O20" s="9">
        <f t="shared" si="24"/>
        <v>0</v>
      </c>
      <c r="P20" s="9">
        <f t="shared" si="0"/>
        <v>0</v>
      </c>
      <c r="Q20" s="9">
        <f t="shared" si="1"/>
        <v>0</v>
      </c>
      <c r="R20" s="24" t="str">
        <f t="shared" si="2"/>
        <v/>
      </c>
      <c r="S20" s="36"/>
      <c r="T20" s="88"/>
      <c r="U20" s="86"/>
      <c r="V20" s="20" t="str">
        <f t="shared" si="11"/>
        <v/>
      </c>
      <c r="W20" s="9" t="str">
        <f t="shared" si="12"/>
        <v/>
      </c>
      <c r="X20" s="9" t="str">
        <f t="shared" ca="1" si="3"/>
        <v/>
      </c>
      <c r="Y20" s="9" t="str">
        <f t="shared" si="4"/>
        <v/>
      </c>
      <c r="Z20" s="9" t="str">
        <f t="shared" si="5"/>
        <v/>
      </c>
      <c r="AA20" s="74">
        <f t="shared" si="13"/>
        <v>44696</v>
      </c>
      <c r="AB20" s="35">
        <f t="shared" si="14"/>
        <v>0</v>
      </c>
      <c r="AC20" s="35">
        <f t="shared" si="15"/>
        <v>88181818.181818217</v>
      </c>
      <c r="AD20" s="15">
        <f t="shared" ca="1" si="6"/>
        <v>-932432.1295143218</v>
      </c>
      <c r="AE20" s="15">
        <f t="shared" si="7"/>
        <v>-112341.22042341225</v>
      </c>
      <c r="AF20" s="34">
        <f t="shared" si="8"/>
        <v>31</v>
      </c>
      <c r="AH20" s="34">
        <v>14</v>
      </c>
      <c r="AI20" s="25">
        <f t="shared" si="25"/>
        <v>14</v>
      </c>
      <c r="AJ20" s="26">
        <f t="shared" si="16"/>
        <v>44727</v>
      </c>
      <c r="AK20" s="27">
        <f t="shared" si="17"/>
        <v>88181818.181818217</v>
      </c>
      <c r="AL20" s="114">
        <f>IF(torlesztes="Egyedi",-SUMIFS(U$7:U$126,T$7:T$126,"&gt;"&amp;AJ19,T$7:T$126,"&lt;="&amp;AJ20),IFERROR(IF(torlesztes="Egyenlő tőke",IF(COUNT($AK$7:AK20)&gt;$D$15,"",-$AK$5/$D$15),0),""))</f>
        <v>-909090.90909090906</v>
      </c>
      <c r="AM20" s="27">
        <f t="shared" ca="1" si="18"/>
        <v>-932432.1295143218</v>
      </c>
      <c r="AN20" s="27">
        <f t="shared" si="19"/>
        <v>88181818.181818217</v>
      </c>
      <c r="AO20" s="27">
        <f>IF(torlesztes="Egyedi",-SUMIFS(U$7:U$126,T$7:T$126,"&gt;"&amp;AJ19,T$7:T$126,"&lt;="&amp;AJ20),IFERROR(IF(torlesztes="Egyenlő tőke",IF(COUNT($AN$7:AN20)&gt;$D$15,"",-$AK$5/$D$15),0),""))</f>
        <v>-909090.90909090906</v>
      </c>
      <c r="AP20" s="27">
        <f t="shared" si="20"/>
        <v>-112341.22042341225</v>
      </c>
      <c r="AR20" s="27">
        <f t="shared" ca="1" si="21"/>
        <v>820090.90909090952</v>
      </c>
      <c r="AS20" s="27">
        <f t="shared" ca="1" si="22"/>
        <v>763700.42963375349</v>
      </c>
      <c r="AT20" s="34">
        <f t="shared" si="9"/>
        <v>31</v>
      </c>
    </row>
    <row r="21" spans="1:46" x14ac:dyDescent="0.25">
      <c r="B21" s="85" t="s">
        <v>312</v>
      </c>
      <c r="C21" s="138" t="s">
        <v>329</v>
      </c>
      <c r="D21" s="21"/>
      <c r="F21" s="154" t="s">
        <v>331</v>
      </c>
      <c r="G21" s="155">
        <f ca="1">IF(tizennegyeskizarok=0,"Nem jogosult",hitelpertamogatasarany*G22)</f>
        <v>354818.67215877312</v>
      </c>
      <c r="H21" s="155">
        <f ca="1">IF(tizenheteskizarok=0,"Nem jogosult",hitelpertamogatasarany*H22)</f>
        <v>129024.97169409931</v>
      </c>
      <c r="I21"/>
      <c r="J21" s="33" t="b">
        <f t="shared" si="10"/>
        <v>0</v>
      </c>
      <c r="K21" s="33"/>
      <c r="L21" s="87"/>
      <c r="M21" s="86"/>
      <c r="N21" s="20" t="str">
        <f t="shared" si="23"/>
        <v/>
      </c>
      <c r="O21" s="9">
        <f t="shared" si="24"/>
        <v>0</v>
      </c>
      <c r="P21" s="9">
        <f t="shared" si="0"/>
        <v>0</v>
      </c>
      <c r="Q21" s="9">
        <f t="shared" si="1"/>
        <v>0</v>
      </c>
      <c r="R21" s="24" t="str">
        <f t="shared" si="2"/>
        <v/>
      </c>
      <c r="S21" s="36"/>
      <c r="T21" s="88"/>
      <c r="U21" s="86"/>
      <c r="V21" s="20" t="str">
        <f t="shared" si="11"/>
        <v/>
      </c>
      <c r="W21" s="9" t="str">
        <f t="shared" si="12"/>
        <v/>
      </c>
      <c r="X21" s="9" t="str">
        <f t="shared" ca="1" si="3"/>
        <v/>
      </c>
      <c r="Y21" s="9" t="str">
        <f t="shared" si="4"/>
        <v/>
      </c>
      <c r="Z21" s="9" t="str">
        <f t="shared" si="5"/>
        <v/>
      </c>
      <c r="AA21" s="74">
        <f t="shared" si="13"/>
        <v>44727</v>
      </c>
      <c r="AB21" s="35">
        <f t="shared" si="14"/>
        <v>0</v>
      </c>
      <c r="AC21" s="35">
        <f t="shared" si="15"/>
        <v>87272727.272727311</v>
      </c>
      <c r="AD21" s="15">
        <f t="shared" ca="1" si="6"/>
        <v>-893051.05853051099</v>
      </c>
      <c r="AE21" s="15">
        <f t="shared" si="7"/>
        <v>-107596.51307596517</v>
      </c>
      <c r="AF21" s="34">
        <f t="shared" si="8"/>
        <v>30</v>
      </c>
      <c r="AH21" s="34">
        <v>15</v>
      </c>
      <c r="AI21" s="25">
        <f t="shared" si="25"/>
        <v>15</v>
      </c>
      <c r="AJ21" s="26">
        <f t="shared" si="16"/>
        <v>44757</v>
      </c>
      <c r="AK21" s="27">
        <f t="shared" si="17"/>
        <v>87272727.272727311</v>
      </c>
      <c r="AL21" s="114">
        <f>IF(torlesztes="Egyedi",-SUMIFS(U$7:U$126,T$7:T$126,"&gt;"&amp;AJ20,T$7:T$126,"&lt;="&amp;AJ21),IFERROR(IF(torlesztes="Egyenlő tőke",IF(COUNT($AK$7:AK21)&gt;$D$15,"",-$AK$5/$D$15),0),""))</f>
        <v>-909090.90909090906</v>
      </c>
      <c r="AM21" s="27">
        <f t="shared" ca="1" si="18"/>
        <v>-893051.05853051099</v>
      </c>
      <c r="AN21" s="27">
        <f t="shared" si="19"/>
        <v>87272727.272727311</v>
      </c>
      <c r="AO21" s="27">
        <f>IF(torlesztes="Egyedi",-SUMIFS(U$7:U$126,T$7:T$126,"&gt;"&amp;AJ20,T$7:T$126,"&lt;="&amp;AJ21),IFERROR(IF(torlesztes="Egyenlő tőke",IF(COUNT($AN$7:AN21)&gt;$D$15,"",-$AK$5/$D$15),0),""))</f>
        <v>-909090.90909090906</v>
      </c>
      <c r="AP21" s="27">
        <f t="shared" si="20"/>
        <v>-107596.51307596517</v>
      </c>
      <c r="AR21" s="27">
        <f t="shared" ca="1" si="21"/>
        <v>785454.54545454588</v>
      </c>
      <c r="AS21" s="27">
        <f t="shared" ca="1" si="22"/>
        <v>729348.82792125957</v>
      </c>
      <c r="AT21" s="34">
        <f t="shared" si="9"/>
        <v>30</v>
      </c>
    </row>
    <row r="22" spans="1:46" x14ac:dyDescent="0.25">
      <c r="A22"/>
      <c r="B22" s="85" t="s">
        <v>301</v>
      </c>
      <c r="C22" s="113" t="s">
        <v>310</v>
      </c>
      <c r="D22" s="20"/>
      <c r="F22" s="153" t="s">
        <v>125</v>
      </c>
      <c r="G22" s="156">
        <f>IF(tizennegyeskizarok=0,"Nem jogosult",MIN(MAX((Szamitasok!B16*(Szamitasok!B10+0.5*Szamitasok!B11)-C53-C48),0),Szamitasok!B17))</f>
        <v>213888.88888888891</v>
      </c>
      <c r="H22" s="156">
        <f>IF(tizenheteskizarok=0,"Nem jogosult",MAX(MIN(((((eurelszamolhato)*vallmeret)-C55-C48)),7.5*1000000),0))</f>
        <v>77777.777777777781</v>
      </c>
      <c r="I22" s="59"/>
      <c r="J22" s="33" t="b">
        <f t="shared" si="10"/>
        <v>0</v>
      </c>
      <c r="K22" s="33"/>
      <c r="L22" s="87"/>
      <c r="M22" s="86"/>
      <c r="N22" s="20" t="str">
        <f t="shared" si="23"/>
        <v/>
      </c>
      <c r="O22" s="9">
        <f t="shared" si="24"/>
        <v>0</v>
      </c>
      <c r="P22" s="9">
        <f t="shared" si="0"/>
        <v>0</v>
      </c>
      <c r="Q22" s="9">
        <f t="shared" si="1"/>
        <v>0</v>
      </c>
      <c r="R22" s="24" t="str">
        <f t="shared" si="2"/>
        <v/>
      </c>
      <c r="S22" s="36"/>
      <c r="T22" s="88"/>
      <c r="U22" s="86"/>
      <c r="V22" s="20" t="str">
        <f t="shared" si="11"/>
        <v/>
      </c>
      <c r="W22" s="9" t="str">
        <f t="shared" si="12"/>
        <v/>
      </c>
      <c r="X22" s="9" t="str">
        <f t="shared" ca="1" si="3"/>
        <v/>
      </c>
      <c r="Y22" s="9" t="str">
        <f t="shared" si="4"/>
        <v/>
      </c>
      <c r="Z22" s="9" t="str">
        <f t="shared" si="5"/>
        <v/>
      </c>
      <c r="AA22" s="74">
        <f t="shared" si="13"/>
        <v>44757</v>
      </c>
      <c r="AB22" s="35">
        <f t="shared" si="14"/>
        <v>0</v>
      </c>
      <c r="AC22" s="35">
        <f t="shared" si="15"/>
        <v>86363636.363636404</v>
      </c>
      <c r="AD22" s="15">
        <f t="shared" ca="1" si="6"/>
        <v>-913206.72478206758</v>
      </c>
      <c r="AE22" s="15">
        <f t="shared" si="7"/>
        <v>-110024.90660024912</v>
      </c>
      <c r="AF22" s="34">
        <f t="shared" si="8"/>
        <v>31</v>
      </c>
      <c r="AH22" s="34">
        <v>16</v>
      </c>
      <c r="AI22" s="25">
        <f t="shared" si="25"/>
        <v>16</v>
      </c>
      <c r="AJ22" s="26">
        <f t="shared" si="16"/>
        <v>44788</v>
      </c>
      <c r="AK22" s="27">
        <f t="shared" si="17"/>
        <v>86363636.363636404</v>
      </c>
      <c r="AL22" s="114">
        <f>IF(torlesztes="Egyedi",-SUMIFS(U$7:U$126,T$7:T$126,"&gt;"&amp;AJ21,T$7:T$126,"&lt;="&amp;AJ22),IFERROR(IF(torlesztes="Egyenlő tőke",IF(COUNT($AK$7:AK22)&gt;$D$15,"",-$AK$5/$D$15),0),""))</f>
        <v>-909090.90909090906</v>
      </c>
      <c r="AM22" s="27">
        <f t="shared" ca="1" si="18"/>
        <v>-913206.72478206758</v>
      </c>
      <c r="AN22" s="27">
        <f t="shared" si="19"/>
        <v>86363636.363636404</v>
      </c>
      <c r="AO22" s="27">
        <f>IF(torlesztes="Egyedi",-SUMIFS(U$7:U$126,T$7:T$126,"&gt;"&amp;AJ21,T$7:T$126,"&lt;="&amp;AJ22),IFERROR(IF(torlesztes="Egyenlő tőke",IF(COUNT($AN$7:AN22)&gt;$D$15,"",-$AK$5/$D$15),0),""))</f>
        <v>-909090.90909090906</v>
      </c>
      <c r="AP22" s="27">
        <f t="shared" si="20"/>
        <v>-110024.90660024912</v>
      </c>
      <c r="AR22" s="27">
        <f t="shared" ca="1" si="21"/>
        <v>803181.81818181847</v>
      </c>
      <c r="AS22" s="27">
        <f t="shared" ca="1" si="22"/>
        <v>743671.76943651889</v>
      </c>
      <c r="AT22" s="34">
        <f t="shared" si="9"/>
        <v>31</v>
      </c>
    </row>
    <row r="23" spans="1:46" x14ac:dyDescent="0.25">
      <c r="B23" s="84" t="str">
        <f>IF(C23&lt;C24,"Nem lehet kisebb, mint a hitelösszeg","Beruházás elszámolható költsége ("&amp;C9&amp;")")</f>
        <v>Beruházás elszámolható költsége (HUF)</v>
      </c>
      <c r="C23" s="162">
        <v>140000000</v>
      </c>
      <c r="I23" s="59"/>
      <c r="J23" s="33" t="b">
        <f t="shared" si="10"/>
        <v>0</v>
      </c>
      <c r="K23" s="33"/>
      <c r="L23" s="87"/>
      <c r="M23" s="86"/>
      <c r="N23" s="20" t="str">
        <f t="shared" si="23"/>
        <v/>
      </c>
      <c r="O23" s="9">
        <f t="shared" si="24"/>
        <v>0</v>
      </c>
      <c r="P23" s="9">
        <f t="shared" si="0"/>
        <v>0</v>
      </c>
      <c r="Q23" s="9">
        <f t="shared" si="1"/>
        <v>0</v>
      </c>
      <c r="R23" s="24" t="str">
        <f t="shared" si="2"/>
        <v/>
      </c>
      <c r="S23" s="36"/>
      <c r="T23" s="88"/>
      <c r="U23" s="86"/>
      <c r="V23" s="20" t="str">
        <f t="shared" si="11"/>
        <v/>
      </c>
      <c r="W23" s="9" t="str">
        <f t="shared" si="12"/>
        <v/>
      </c>
      <c r="X23" s="9" t="str">
        <f t="shared" ca="1" si="3"/>
        <v/>
      </c>
      <c r="Y23" s="9" t="str">
        <f t="shared" si="4"/>
        <v/>
      </c>
      <c r="Z23" s="9" t="str">
        <f t="shared" si="5"/>
        <v/>
      </c>
      <c r="AA23" s="74">
        <f t="shared" si="13"/>
        <v>44788</v>
      </c>
      <c r="AB23" s="35">
        <f t="shared" si="14"/>
        <v>0</v>
      </c>
      <c r="AC23" s="35">
        <f t="shared" si="15"/>
        <v>85454545.454545498</v>
      </c>
      <c r="AD23" s="15">
        <f t="shared" ca="1" si="6"/>
        <v>-903594.02241594065</v>
      </c>
      <c r="AE23" s="15">
        <f t="shared" si="7"/>
        <v>-108866.74968866754</v>
      </c>
      <c r="AF23" s="34">
        <f t="shared" si="8"/>
        <v>31</v>
      </c>
      <c r="AH23" s="34">
        <v>17</v>
      </c>
      <c r="AI23" s="25">
        <f t="shared" si="25"/>
        <v>17</v>
      </c>
      <c r="AJ23" s="26">
        <f t="shared" si="16"/>
        <v>44819</v>
      </c>
      <c r="AK23" s="27">
        <f t="shared" si="17"/>
        <v>85454545.454545498</v>
      </c>
      <c r="AL23" s="114">
        <f>IF(torlesztes="Egyedi",-SUMIFS(U$7:U$126,T$7:T$126,"&gt;"&amp;AJ22,T$7:T$126,"&lt;="&amp;AJ23),IFERROR(IF(torlesztes="Egyenlő tőke",IF(COUNT($AK$7:AK23)&gt;$D$15,"",-$AK$5/$D$15),0),""))</f>
        <v>-909090.90909090906</v>
      </c>
      <c r="AM23" s="27">
        <f t="shared" ca="1" si="18"/>
        <v>-903594.02241594065</v>
      </c>
      <c r="AN23" s="27">
        <f t="shared" si="19"/>
        <v>85454545.454545498</v>
      </c>
      <c r="AO23" s="27">
        <f>IF(torlesztes="Egyedi",-SUMIFS(U$7:U$126,T$7:T$126,"&gt;"&amp;AJ22,T$7:T$126,"&lt;="&amp;AJ23),IFERROR(IF(torlesztes="Egyenlő tőke",IF(COUNT($AN$7:AN23)&gt;$D$15,"",-$AK$5/$D$15),0),""))</f>
        <v>-909090.90909090906</v>
      </c>
      <c r="AP23" s="27">
        <f t="shared" si="20"/>
        <v>-108866.74968866754</v>
      </c>
      <c r="AR23" s="27">
        <f t="shared" ca="1" si="21"/>
        <v>794727.27272727317</v>
      </c>
      <c r="AS23" s="27">
        <f t="shared" ca="1" si="22"/>
        <v>733734.15983817889</v>
      </c>
      <c r="AT23" s="34">
        <f t="shared" si="9"/>
        <v>31</v>
      </c>
    </row>
    <row r="24" spans="1:46" x14ac:dyDescent="0.25">
      <c r="B24" s="85" t="str">
        <f>IF(C9="HUF",IF(C24&gt;3500000000,"A hitelösszeg nem haladhatja meg a 3,5 milliárd forintot!","Hitelösszeg ("&amp;C9&amp;")"),IF(C24&gt;10000000,"A hitelösszeg nem haladhatja meg a 10 millió eurót!","Hitelösszeg ("&amp;C9&amp;")"))</f>
        <v>Hitelösszeg (HUF)</v>
      </c>
      <c r="C24" s="143">
        <v>100000000</v>
      </c>
      <c r="H24"/>
      <c r="I24" s="59"/>
      <c r="J24" s="33" t="b">
        <f t="shared" si="10"/>
        <v>0</v>
      </c>
      <c r="K24" s="33"/>
      <c r="L24" s="87"/>
      <c r="M24" s="86"/>
      <c r="N24" s="20" t="str">
        <f t="shared" si="23"/>
        <v/>
      </c>
      <c r="O24" s="9">
        <f t="shared" si="24"/>
        <v>0</v>
      </c>
      <c r="P24" s="9">
        <f t="shared" si="0"/>
        <v>0</v>
      </c>
      <c r="Q24" s="9">
        <f t="shared" si="1"/>
        <v>0</v>
      </c>
      <c r="R24" s="24" t="str">
        <f t="shared" si="2"/>
        <v/>
      </c>
      <c r="S24" s="36"/>
      <c r="T24" s="88"/>
      <c r="U24" s="86"/>
      <c r="V24" s="20" t="str">
        <f t="shared" si="11"/>
        <v/>
      </c>
      <c r="W24" s="9" t="str">
        <f t="shared" si="12"/>
        <v/>
      </c>
      <c r="X24" s="9" t="str">
        <f t="shared" ca="1" si="3"/>
        <v/>
      </c>
      <c r="Y24" s="9" t="str">
        <f t="shared" si="4"/>
        <v/>
      </c>
      <c r="Z24" s="9" t="str">
        <f t="shared" si="5"/>
        <v/>
      </c>
      <c r="AA24" s="74">
        <f t="shared" si="13"/>
        <v>44819</v>
      </c>
      <c r="AB24" s="35">
        <f t="shared" si="14"/>
        <v>0</v>
      </c>
      <c r="AC24" s="35">
        <f t="shared" si="15"/>
        <v>84545454.545454592</v>
      </c>
      <c r="AD24" s="15">
        <f t="shared" ca="1" si="6"/>
        <v>-865143.21295143268</v>
      </c>
      <c r="AE24" s="15">
        <f t="shared" si="7"/>
        <v>-104234.12204234127</v>
      </c>
      <c r="AF24" s="34">
        <f t="shared" si="8"/>
        <v>30</v>
      </c>
      <c r="AH24" s="34">
        <v>18</v>
      </c>
      <c r="AI24" s="25">
        <f t="shared" si="25"/>
        <v>18</v>
      </c>
      <c r="AJ24" s="26">
        <f t="shared" si="16"/>
        <v>44849</v>
      </c>
      <c r="AK24" s="27">
        <f t="shared" si="17"/>
        <v>84545454.545454592</v>
      </c>
      <c r="AL24" s="114">
        <f>IF(torlesztes="Egyedi",-SUMIFS(U$7:U$126,T$7:T$126,"&gt;"&amp;AJ23,T$7:T$126,"&lt;="&amp;AJ24),IFERROR(IF(torlesztes="Egyenlő tőke",IF(COUNT($AK$7:AK24)&gt;$D$15,"",-$AK$5/$D$15),0),""))</f>
        <v>-909090.90909090906</v>
      </c>
      <c r="AM24" s="27">
        <f t="shared" ca="1" si="18"/>
        <v>-865143.21295143268</v>
      </c>
      <c r="AN24" s="27">
        <f t="shared" si="19"/>
        <v>84545454.545454592</v>
      </c>
      <c r="AO24" s="27">
        <f>IF(torlesztes="Egyedi",-SUMIFS(U$7:U$126,T$7:T$126,"&gt;"&amp;AJ23,T$7:T$126,"&lt;="&amp;AJ24),IFERROR(IF(torlesztes="Egyenlő tőke",IF(COUNT($AN$7:AN24)&gt;$D$15,"",-$AK$5/$D$15),0),""))</f>
        <v>-909090.90909090906</v>
      </c>
      <c r="AP24" s="27">
        <f t="shared" si="20"/>
        <v>-104234.12204234127</v>
      </c>
      <c r="AR24" s="27">
        <f t="shared" ca="1" si="21"/>
        <v>760909.09090909141</v>
      </c>
      <c r="AS24" s="27">
        <f t="shared" ca="1" si="22"/>
        <v>700497.49932174897</v>
      </c>
      <c r="AT24" s="34">
        <f t="shared" si="9"/>
        <v>30</v>
      </c>
    </row>
    <row r="25" spans="1:46" x14ac:dyDescent="0.25">
      <c r="B25" s="103" t="s">
        <v>281</v>
      </c>
      <c r="C25" s="75">
        <v>43966</v>
      </c>
      <c r="F25" s="34"/>
      <c r="H25"/>
      <c r="I25"/>
      <c r="J25" s="33" t="b">
        <f t="shared" si="10"/>
        <v>0</v>
      </c>
      <c r="K25" s="33"/>
      <c r="L25" s="87"/>
      <c r="M25" s="86"/>
      <c r="N25" s="20" t="str">
        <f t="shared" si="23"/>
        <v/>
      </c>
      <c r="O25" s="9">
        <f t="shared" si="24"/>
        <v>0</v>
      </c>
      <c r="P25" s="9">
        <f t="shared" si="0"/>
        <v>0</v>
      </c>
      <c r="Q25" s="9">
        <f t="shared" si="1"/>
        <v>0</v>
      </c>
      <c r="R25" s="24" t="str">
        <f t="shared" si="2"/>
        <v/>
      </c>
      <c r="S25" s="36"/>
      <c r="T25" s="88"/>
      <c r="U25" s="86"/>
      <c r="V25" s="20" t="str">
        <f t="shared" si="11"/>
        <v/>
      </c>
      <c r="W25" s="9" t="str">
        <f t="shared" si="12"/>
        <v/>
      </c>
      <c r="X25" s="9" t="str">
        <f t="shared" ca="1" si="3"/>
        <v/>
      </c>
      <c r="Y25" s="9" t="str">
        <f t="shared" si="4"/>
        <v/>
      </c>
      <c r="Z25" s="9" t="str">
        <f t="shared" si="5"/>
        <v/>
      </c>
      <c r="AA25" s="74">
        <f t="shared" si="13"/>
        <v>44849</v>
      </c>
      <c r="AB25" s="35">
        <f t="shared" si="14"/>
        <v>0</v>
      </c>
      <c r="AC25" s="35">
        <f t="shared" si="15"/>
        <v>83636363.636363685</v>
      </c>
      <c r="AD25" s="15">
        <f t="shared" ca="1" si="6"/>
        <v>-884368.61768368667</v>
      </c>
      <c r="AE25" s="15">
        <f t="shared" si="7"/>
        <v>-106550.43586550442</v>
      </c>
      <c r="AF25" s="34">
        <f t="shared" si="8"/>
        <v>31</v>
      </c>
      <c r="AH25" s="34">
        <v>19</v>
      </c>
      <c r="AI25" s="25">
        <f t="shared" si="25"/>
        <v>19</v>
      </c>
      <c r="AJ25" s="26">
        <f t="shared" si="16"/>
        <v>44880</v>
      </c>
      <c r="AK25" s="27">
        <f t="shared" si="17"/>
        <v>83636363.636363685</v>
      </c>
      <c r="AL25" s="114">
        <f>IF(torlesztes="Egyedi",-SUMIFS(U$7:U$126,T$7:T$126,"&gt;"&amp;AJ24,T$7:T$126,"&lt;="&amp;AJ25),IFERROR(IF(torlesztes="Egyenlő tőke",IF(COUNT($AK$7:AK25)&gt;$D$15,"",-$AK$5/$D$15),0),""))</f>
        <v>-909090.90909090906</v>
      </c>
      <c r="AM25" s="27">
        <f t="shared" ca="1" si="18"/>
        <v>-884368.61768368667</v>
      </c>
      <c r="AN25" s="27">
        <f t="shared" si="19"/>
        <v>83636363.636363685</v>
      </c>
      <c r="AO25" s="27">
        <f>IF(torlesztes="Egyedi",-SUMIFS(U$7:U$126,T$7:T$126,"&gt;"&amp;AJ24,T$7:T$126,"&lt;="&amp;AJ25),IFERROR(IF(torlesztes="Egyenlő tőke",IF(COUNT($AN$7:AN25)&gt;$D$15,"",-$AK$5/$D$15),0),""))</f>
        <v>-909090.90909090906</v>
      </c>
      <c r="AP25" s="27">
        <f t="shared" si="20"/>
        <v>-106550.43586550442</v>
      </c>
      <c r="AR25" s="27">
        <f t="shared" ca="1" si="21"/>
        <v>777818.18181818223</v>
      </c>
      <c r="AS25" s="27">
        <f t="shared" ca="1" si="22"/>
        <v>714011.32785021851</v>
      </c>
      <c r="AT25" s="34">
        <f t="shared" si="9"/>
        <v>31</v>
      </c>
    </row>
    <row r="26" spans="1:46" ht="15.75" customHeight="1" x14ac:dyDescent="0.25">
      <c r="B26" s="103" t="str">
        <f>"Szerződéskötés várható dátuma"&amp;IF(C26&gt;DATE(2021,12,31)," - Nem lehet későbbi, mint 2021.12.31","")</f>
        <v>Szerződéskötés várható dátuma</v>
      </c>
      <c r="C26" s="75">
        <v>43981</v>
      </c>
      <c r="E26" s="37"/>
      <c r="F26" s="34"/>
      <c r="H26"/>
      <c r="I26"/>
      <c r="J26" s="33" t="b">
        <f t="shared" si="10"/>
        <v>0</v>
      </c>
      <c r="K26" s="33"/>
      <c r="L26" s="87"/>
      <c r="M26" s="86"/>
      <c r="N26" s="20" t="str">
        <f t="shared" si="23"/>
        <v/>
      </c>
      <c r="O26" s="9">
        <f t="shared" si="24"/>
        <v>0</v>
      </c>
      <c r="P26" s="9">
        <f t="shared" si="0"/>
        <v>0</v>
      </c>
      <c r="Q26" s="9">
        <f t="shared" si="1"/>
        <v>0</v>
      </c>
      <c r="R26" s="24" t="str">
        <f t="shared" si="2"/>
        <v/>
      </c>
      <c r="S26" s="36"/>
      <c r="T26" s="88"/>
      <c r="U26" s="86"/>
      <c r="V26" s="20" t="str">
        <f t="shared" si="11"/>
        <v/>
      </c>
      <c r="W26" s="9" t="str">
        <f t="shared" si="12"/>
        <v/>
      </c>
      <c r="X26" s="9" t="str">
        <f t="shared" ca="1" si="3"/>
        <v/>
      </c>
      <c r="Y26" s="9" t="str">
        <f t="shared" si="4"/>
        <v/>
      </c>
      <c r="Z26" s="9" t="str">
        <f t="shared" si="5"/>
        <v/>
      </c>
      <c r="AA26" s="74">
        <f t="shared" si="13"/>
        <v>44880</v>
      </c>
      <c r="AB26" s="35">
        <f t="shared" si="14"/>
        <v>0</v>
      </c>
      <c r="AC26" s="35">
        <f t="shared" si="15"/>
        <v>82727272.727272779</v>
      </c>
      <c r="AD26" s="15">
        <f t="shared" ca="1" si="6"/>
        <v>-846537.9825653804</v>
      </c>
      <c r="AE26" s="15">
        <f t="shared" si="7"/>
        <v>-101992.52801992533</v>
      </c>
      <c r="AF26" s="34">
        <f t="shared" si="8"/>
        <v>30</v>
      </c>
      <c r="AH26" s="34">
        <v>20</v>
      </c>
      <c r="AI26" s="25">
        <f t="shared" si="25"/>
        <v>20</v>
      </c>
      <c r="AJ26" s="26">
        <f t="shared" si="16"/>
        <v>44910</v>
      </c>
      <c r="AK26" s="27">
        <f t="shared" si="17"/>
        <v>82727272.727272779</v>
      </c>
      <c r="AL26" s="114">
        <f>IF(torlesztes="Egyedi",-SUMIFS(U$7:U$126,T$7:T$126,"&gt;"&amp;AJ25,T$7:T$126,"&lt;="&amp;AJ26),IFERROR(IF(torlesztes="Egyenlő tőke",IF(COUNT($AK$7:AK26)&gt;$D$15,"",-$AK$5/$D$15),0),""))</f>
        <v>-909090.90909090906</v>
      </c>
      <c r="AM26" s="27">
        <f t="shared" ca="1" si="18"/>
        <v>-846537.9825653804</v>
      </c>
      <c r="AN26" s="27">
        <f t="shared" si="19"/>
        <v>82727272.727272779</v>
      </c>
      <c r="AO26" s="27">
        <f>IF(torlesztes="Egyedi",-SUMIFS(U$7:U$126,T$7:T$126,"&gt;"&amp;AJ25,T$7:T$126,"&lt;="&amp;AJ26),IFERROR(IF(torlesztes="Egyenlő tőke",IF(COUNT($AN$7:AN26)&gt;$D$15,"",-$AK$5/$D$15),0),""))</f>
        <v>-909090.90909090906</v>
      </c>
      <c r="AP26" s="27">
        <f t="shared" si="20"/>
        <v>-101992.52801992533</v>
      </c>
      <c r="AR26" s="27">
        <f t="shared" ca="1" si="21"/>
        <v>744545.45454545505</v>
      </c>
      <c r="AS26" s="27">
        <f t="shared" ca="1" si="22"/>
        <v>681508.72868521814</v>
      </c>
      <c r="AT26" s="34">
        <f t="shared" si="9"/>
        <v>30</v>
      </c>
    </row>
    <row r="27" spans="1:46" x14ac:dyDescent="0.25">
      <c r="B27" s="103" t="s">
        <v>282</v>
      </c>
      <c r="C27" s="75">
        <v>44331</v>
      </c>
      <c r="E27" s="37"/>
      <c r="H27"/>
      <c r="I27"/>
      <c r="J27" s="33" t="b">
        <f t="shared" si="10"/>
        <v>0</v>
      </c>
      <c r="K27" s="33"/>
      <c r="L27" s="87"/>
      <c r="M27" s="86"/>
      <c r="N27" s="20" t="str">
        <f t="shared" si="23"/>
        <v/>
      </c>
      <c r="O27" s="9">
        <f t="shared" si="24"/>
        <v>0</v>
      </c>
      <c r="P27" s="9">
        <f t="shared" si="0"/>
        <v>0</v>
      </c>
      <c r="Q27" s="9">
        <f t="shared" si="1"/>
        <v>0</v>
      </c>
      <c r="R27" s="24" t="str">
        <f t="shared" si="2"/>
        <v/>
      </c>
      <c r="S27" s="36"/>
      <c r="T27" s="88"/>
      <c r="U27" s="86"/>
      <c r="V27" s="20" t="str">
        <f t="shared" si="11"/>
        <v/>
      </c>
      <c r="W27" s="9" t="str">
        <f t="shared" si="12"/>
        <v/>
      </c>
      <c r="X27" s="9" t="str">
        <f t="shared" ca="1" si="3"/>
        <v/>
      </c>
      <c r="Y27" s="9" t="str">
        <f t="shared" si="4"/>
        <v/>
      </c>
      <c r="Z27" s="9" t="str">
        <f t="shared" si="5"/>
        <v/>
      </c>
      <c r="AA27" s="74">
        <f t="shared" si="13"/>
        <v>44910</v>
      </c>
      <c r="AB27" s="35">
        <f t="shared" si="14"/>
        <v>0</v>
      </c>
      <c r="AC27" s="35">
        <f t="shared" si="15"/>
        <v>81818181.818181872</v>
      </c>
      <c r="AD27" s="15">
        <f t="shared" ca="1" si="6"/>
        <v>-865143.21295143268</v>
      </c>
      <c r="AE27" s="15">
        <f t="shared" si="7"/>
        <v>-104234.12204234129</v>
      </c>
      <c r="AF27" s="34">
        <f t="shared" si="8"/>
        <v>31</v>
      </c>
      <c r="AH27" s="34">
        <v>21</v>
      </c>
      <c r="AI27" s="25">
        <f t="shared" si="25"/>
        <v>21</v>
      </c>
      <c r="AJ27" s="26">
        <f t="shared" si="16"/>
        <v>44941</v>
      </c>
      <c r="AK27" s="27">
        <f t="shared" si="17"/>
        <v>81818181.818181872</v>
      </c>
      <c r="AL27" s="114">
        <f>IF(torlesztes="Egyedi",-SUMIFS(U$7:U$126,T$7:T$126,"&gt;"&amp;AJ26,T$7:T$126,"&lt;="&amp;AJ27),IFERROR(IF(torlesztes="Egyenlő tőke",IF(COUNT($AK$7:AK27)&gt;$D$15,"",-$AK$5/$D$15),0),""))</f>
        <v>-909090.90909090906</v>
      </c>
      <c r="AM27" s="27">
        <f t="shared" ca="1" si="18"/>
        <v>-865143.21295143268</v>
      </c>
      <c r="AN27" s="27">
        <f t="shared" si="19"/>
        <v>81818181.818181872</v>
      </c>
      <c r="AO27" s="27">
        <f>IF(torlesztes="Egyedi",-SUMIFS(U$7:U$126,T$7:T$126,"&gt;"&amp;AJ26,T$7:T$126,"&lt;="&amp;AJ27),IFERROR(IF(torlesztes="Egyenlő tőke",IF(COUNT($AN$7:AN27)&gt;$D$15,"",-$AK$5/$D$15),0),""))</f>
        <v>-909090.90909090906</v>
      </c>
      <c r="AP27" s="27">
        <f t="shared" si="20"/>
        <v>-104234.12204234129</v>
      </c>
      <c r="AR27" s="27">
        <f t="shared" ca="1" si="21"/>
        <v>760909.09090909141</v>
      </c>
      <c r="AS27" s="27">
        <f t="shared" ca="1" si="22"/>
        <v>694490.28293902602</v>
      </c>
      <c r="AT27" s="34">
        <f t="shared" si="9"/>
        <v>31</v>
      </c>
    </row>
    <row r="28" spans="1:46" x14ac:dyDescent="0.25">
      <c r="B28" s="84" t="str">
        <f>IF(C28&gt;EDATE(C26,120),"A futamidő nem haladhatja meg a 10 évet","Hitel végső lejáratának várható dátuma")</f>
        <v>Hitel végső lejáratának várható dátuma</v>
      </c>
      <c r="C28" s="76">
        <v>47633</v>
      </c>
      <c r="D28" s="29"/>
      <c r="E28" s="46"/>
      <c r="H28"/>
      <c r="I28"/>
      <c r="J28" s="33" t="b">
        <f t="shared" si="10"/>
        <v>0</v>
      </c>
      <c r="K28" s="33"/>
      <c r="L28" s="87"/>
      <c r="M28" s="86"/>
      <c r="N28" s="20" t="str">
        <f t="shared" si="23"/>
        <v/>
      </c>
      <c r="O28" s="9">
        <f t="shared" si="24"/>
        <v>0</v>
      </c>
      <c r="P28" s="9">
        <f t="shared" si="0"/>
        <v>0</v>
      </c>
      <c r="Q28" s="9">
        <f t="shared" si="1"/>
        <v>0</v>
      </c>
      <c r="R28" s="24" t="str">
        <f t="shared" si="2"/>
        <v/>
      </c>
      <c r="S28" s="36"/>
      <c r="T28" s="88"/>
      <c r="U28" s="86"/>
      <c r="V28" s="20" t="str">
        <f t="shared" si="11"/>
        <v/>
      </c>
      <c r="W28" s="9" t="str">
        <f t="shared" si="12"/>
        <v/>
      </c>
      <c r="X28" s="9" t="str">
        <f t="shared" ca="1" si="3"/>
        <v/>
      </c>
      <c r="Y28" s="9" t="str">
        <f t="shared" si="4"/>
        <v/>
      </c>
      <c r="Z28" s="9" t="str">
        <f t="shared" si="5"/>
        <v/>
      </c>
      <c r="AA28" s="74">
        <f t="shared" si="13"/>
        <v>44941</v>
      </c>
      <c r="AB28" s="35">
        <f t="shared" si="14"/>
        <v>0</v>
      </c>
      <c r="AC28" s="35">
        <f t="shared" si="15"/>
        <v>80909090.909090966</v>
      </c>
      <c r="AD28" s="15">
        <f t="shared" ca="1" si="6"/>
        <v>-855530.51058530575</v>
      </c>
      <c r="AE28" s="15">
        <f t="shared" si="7"/>
        <v>-103075.96513075972</v>
      </c>
      <c r="AF28" s="34">
        <f t="shared" si="8"/>
        <v>31</v>
      </c>
      <c r="AH28" s="34">
        <v>22</v>
      </c>
      <c r="AI28" s="25">
        <f t="shared" si="25"/>
        <v>22</v>
      </c>
      <c r="AJ28" s="26">
        <f t="shared" si="16"/>
        <v>44972</v>
      </c>
      <c r="AK28" s="27">
        <f t="shared" si="17"/>
        <v>80909090.909090966</v>
      </c>
      <c r="AL28" s="114">
        <f>IF(torlesztes="Egyedi",-SUMIFS(U$7:U$126,T$7:T$126,"&gt;"&amp;AJ27,T$7:T$126,"&lt;="&amp;AJ28),IFERROR(IF(torlesztes="Egyenlő tőke",IF(COUNT($AK$7:AK28)&gt;$D$15,"",-$AK$5/$D$15),0),""))</f>
        <v>-909090.90909090906</v>
      </c>
      <c r="AM28" s="27">
        <f t="shared" ca="1" si="18"/>
        <v>-855530.51058530575</v>
      </c>
      <c r="AN28" s="27">
        <f t="shared" si="19"/>
        <v>80909090.909090966</v>
      </c>
      <c r="AO28" s="27">
        <f>IF(torlesztes="Egyedi",-SUMIFS(U$7:U$126,T$7:T$126,"&gt;"&amp;AJ27,T$7:T$126,"&lt;="&amp;AJ28),IFERROR(IF(torlesztes="Egyenlő tőke",IF(COUNT($AN$7:AN28)&gt;$D$15,"",-$AK$5/$D$15),0),""))</f>
        <v>-909090.90909090906</v>
      </c>
      <c r="AP28" s="27">
        <f t="shared" si="20"/>
        <v>-103075.96513075972</v>
      </c>
      <c r="AR28" s="27">
        <f t="shared" ca="1" si="21"/>
        <v>752454.54545454599</v>
      </c>
      <c r="AS28" s="27">
        <f t="shared" ca="1" si="22"/>
        <v>684804.91012309969</v>
      </c>
      <c r="AT28" s="34">
        <f t="shared" si="9"/>
        <v>31</v>
      </c>
    </row>
    <row r="29" spans="1:46" x14ac:dyDescent="0.25">
      <c r="B29" s="84" t="s">
        <v>292</v>
      </c>
      <c r="C29" s="112">
        <f>IF(C9="EUR",0.005,0.015)</f>
        <v>1.4999999999999999E-2</v>
      </c>
      <c r="E29" s="46"/>
      <c r="J29" s="33" t="b">
        <f t="shared" si="10"/>
        <v>0</v>
      </c>
      <c r="K29" s="33"/>
      <c r="L29" s="87"/>
      <c r="M29" s="86"/>
      <c r="N29" s="20" t="str">
        <f t="shared" si="23"/>
        <v/>
      </c>
      <c r="O29" s="9">
        <f t="shared" si="24"/>
        <v>0</v>
      </c>
      <c r="P29" s="9">
        <f t="shared" si="0"/>
        <v>0</v>
      </c>
      <c r="Q29" s="9">
        <f t="shared" si="1"/>
        <v>0</v>
      </c>
      <c r="R29" s="24" t="str">
        <f t="shared" si="2"/>
        <v/>
      </c>
      <c r="S29" s="36"/>
      <c r="T29" s="88"/>
      <c r="U29" s="86"/>
      <c r="V29" s="20" t="str">
        <f t="shared" si="11"/>
        <v/>
      </c>
      <c r="W29" s="9" t="str">
        <f t="shared" si="12"/>
        <v/>
      </c>
      <c r="X29" s="9" t="str">
        <f t="shared" ca="1" si="3"/>
        <v/>
      </c>
      <c r="Y29" s="9" t="str">
        <f t="shared" si="4"/>
        <v/>
      </c>
      <c r="Z29" s="9" t="str">
        <f t="shared" si="5"/>
        <v/>
      </c>
      <c r="AA29" s="74">
        <f t="shared" si="13"/>
        <v>44972</v>
      </c>
      <c r="AB29" s="35">
        <f t="shared" si="14"/>
        <v>0</v>
      </c>
      <c r="AC29" s="35">
        <f t="shared" si="15"/>
        <v>80000000.00000006</v>
      </c>
      <c r="AD29" s="15">
        <f t="shared" ca="1" si="6"/>
        <v>-764054.79452054854</v>
      </c>
      <c r="AE29" s="15">
        <f t="shared" si="7"/>
        <v>-92054.794520548021</v>
      </c>
      <c r="AF29" s="34">
        <f t="shared" si="8"/>
        <v>28</v>
      </c>
      <c r="AH29" s="34">
        <v>23</v>
      </c>
      <c r="AI29" s="25">
        <f>IF(COUNT(AJ29)=1,AI28+1,"")</f>
        <v>23</v>
      </c>
      <c r="AJ29" s="26">
        <f t="shared" si="16"/>
        <v>45000</v>
      </c>
      <c r="AK29" s="27">
        <f t="shared" si="17"/>
        <v>80000000.00000006</v>
      </c>
      <c r="AL29" s="114">
        <f>IF(torlesztes="Egyedi",-SUMIFS(U$7:U$126,T$7:T$126,"&gt;"&amp;AJ28,T$7:T$126,"&lt;="&amp;AJ29),IFERROR(IF(torlesztes="Egyenlő tőke",IF(COUNT($AK$7:AK29)&gt;$D$15,"",-$AK$5/$D$15),0),""))</f>
        <v>-909090.90909090906</v>
      </c>
      <c r="AM29" s="27">
        <f t="shared" ca="1" si="18"/>
        <v>-764054.79452054854</v>
      </c>
      <c r="AN29" s="27">
        <f t="shared" si="19"/>
        <v>80000000.00000006</v>
      </c>
      <c r="AO29" s="27">
        <f>IF(torlesztes="Egyedi",-SUMIFS(U$7:U$126,T$7:T$126,"&gt;"&amp;AJ28,T$7:T$126,"&lt;="&amp;AJ29),IFERROR(IF(torlesztes="Egyenlő tőke",IF(COUNT($AN$7:AN29)&gt;$D$15,"",-$AK$5/$D$15),0),""))</f>
        <v>-909090.90909090906</v>
      </c>
      <c r="AP29" s="27">
        <f t="shared" si="20"/>
        <v>-92054.794520548021</v>
      </c>
      <c r="AR29" s="27">
        <f t="shared" ca="1" si="21"/>
        <v>672000.00000000047</v>
      </c>
      <c r="AS29" s="27">
        <f t="shared" ca="1" si="22"/>
        <v>609830.39059670374</v>
      </c>
      <c r="AT29" s="34">
        <f t="shared" si="9"/>
        <v>28</v>
      </c>
    </row>
    <row r="30" spans="1:46" x14ac:dyDescent="0.25">
      <c r="B30" s="84" t="s">
        <v>280</v>
      </c>
      <c r="C30" s="70" t="s">
        <v>16</v>
      </c>
      <c r="E30" s="37"/>
      <c r="F30" s="34"/>
      <c r="J30" s="33" t="b">
        <f t="shared" si="10"/>
        <v>0</v>
      </c>
      <c r="K30" s="33"/>
      <c r="L30" s="87"/>
      <c r="M30" s="86"/>
      <c r="N30" s="20" t="str">
        <f t="shared" si="23"/>
        <v/>
      </c>
      <c r="O30" s="9">
        <f t="shared" si="24"/>
        <v>0</v>
      </c>
      <c r="P30" s="9">
        <f t="shared" si="0"/>
        <v>0</v>
      </c>
      <c r="Q30" s="9">
        <f t="shared" si="1"/>
        <v>0</v>
      </c>
      <c r="R30" s="24" t="str">
        <f t="shared" si="2"/>
        <v/>
      </c>
      <c r="S30" s="36"/>
      <c r="T30" s="88"/>
      <c r="U30" s="86"/>
      <c r="V30" s="20" t="str">
        <f t="shared" si="11"/>
        <v/>
      </c>
      <c r="W30" s="9" t="str">
        <f t="shared" si="12"/>
        <v/>
      </c>
      <c r="X30" s="9" t="str">
        <f t="shared" ca="1" si="3"/>
        <v/>
      </c>
      <c r="Y30" s="9" t="str">
        <f t="shared" si="4"/>
        <v/>
      </c>
      <c r="Z30" s="9" t="str">
        <f t="shared" si="5"/>
        <v/>
      </c>
      <c r="AA30" s="74">
        <f t="shared" si="13"/>
        <v>45000</v>
      </c>
      <c r="AB30" s="35">
        <f t="shared" si="14"/>
        <v>0</v>
      </c>
      <c r="AC30" s="35">
        <f t="shared" si="15"/>
        <v>79090909.090909153</v>
      </c>
      <c r="AD30" s="15">
        <f t="shared" ca="1" si="6"/>
        <v>-836305.10585305176</v>
      </c>
      <c r="AE30" s="15">
        <f t="shared" si="7"/>
        <v>-100759.65130759658</v>
      </c>
      <c r="AF30" s="34">
        <f t="shared" si="8"/>
        <v>31</v>
      </c>
      <c r="AH30" s="34">
        <v>24</v>
      </c>
      <c r="AI30" s="25">
        <f t="shared" si="25"/>
        <v>24</v>
      </c>
      <c r="AJ30" s="26">
        <f t="shared" si="16"/>
        <v>45031</v>
      </c>
      <c r="AK30" s="27">
        <f t="shared" si="17"/>
        <v>79090909.090909153</v>
      </c>
      <c r="AL30" s="114">
        <f>IF(torlesztes="Egyedi",-SUMIFS(U$7:U$126,T$7:T$126,"&gt;"&amp;AJ29,T$7:T$126,"&lt;="&amp;AJ30),IFERROR(IF(torlesztes="Egyenlő tőke",IF(COUNT($AK$7:AK30)&gt;$D$15,"",-$AK$5/$D$15),0),""))</f>
        <v>-909090.90909090906</v>
      </c>
      <c r="AM30" s="27">
        <f t="shared" ca="1" si="18"/>
        <v>-836305.10585305176</v>
      </c>
      <c r="AN30" s="27">
        <f t="shared" si="19"/>
        <v>79090909.090909153</v>
      </c>
      <c r="AO30" s="27">
        <f>IF(torlesztes="Egyedi",-SUMIFS(U$7:U$126,T$7:T$126,"&gt;"&amp;AJ29,T$7:T$126,"&lt;="&amp;AJ30),IFERROR(IF(torlesztes="Egyenlő tőke",IF(COUNT($AN$7:AN30)&gt;$D$15,"",-$AK$5/$D$15),0),""))</f>
        <v>-909090.90909090906</v>
      </c>
      <c r="AP30" s="27">
        <f t="shared" si="20"/>
        <v>-100759.65130759658</v>
      </c>
      <c r="AR30" s="27">
        <f t="shared" ca="1" si="21"/>
        <v>735545.45454545517</v>
      </c>
      <c r="AS30" s="27">
        <f t="shared" ca="1" si="22"/>
        <v>665583.42955533287</v>
      </c>
      <c r="AT30" s="34">
        <f t="shared" si="9"/>
        <v>31</v>
      </c>
    </row>
    <row r="31" spans="1:46" x14ac:dyDescent="0.25">
      <c r="B31" s="104" t="str">
        <f>IF(torlesztes="Egyenlő tőke","Kamatfizetés/tőketörlesztés gyakorisága","Kamatfizetés gyakorisága")</f>
        <v>Kamatfizetés/tőketörlesztés gyakorisága</v>
      </c>
      <c r="C31" s="70" t="s">
        <v>19</v>
      </c>
      <c r="E31" s="37"/>
      <c r="F31" s="34"/>
      <c r="J31" s="33" t="b">
        <f t="shared" si="10"/>
        <v>0</v>
      </c>
      <c r="K31" s="33"/>
      <c r="L31" s="87"/>
      <c r="M31" s="86"/>
      <c r="N31" s="20" t="str">
        <f t="shared" si="23"/>
        <v/>
      </c>
      <c r="O31" s="9">
        <f t="shared" si="24"/>
        <v>0</v>
      </c>
      <c r="P31" s="9">
        <f t="shared" si="0"/>
        <v>0</v>
      </c>
      <c r="Q31" s="9">
        <f t="shared" si="1"/>
        <v>0</v>
      </c>
      <c r="R31" s="24" t="str">
        <f t="shared" si="2"/>
        <v/>
      </c>
      <c r="S31" s="36"/>
      <c r="T31" s="88"/>
      <c r="U31" s="86"/>
      <c r="V31" s="20" t="str">
        <f t="shared" si="11"/>
        <v/>
      </c>
      <c r="W31" s="9" t="str">
        <f t="shared" si="12"/>
        <v/>
      </c>
      <c r="X31" s="9" t="str">
        <f t="shared" ca="1" si="3"/>
        <v/>
      </c>
      <c r="Y31" s="9" t="str">
        <f t="shared" si="4"/>
        <v/>
      </c>
      <c r="Z31" s="9" t="str">
        <f t="shared" si="5"/>
        <v/>
      </c>
      <c r="AA31" s="74">
        <f t="shared" si="13"/>
        <v>45031</v>
      </c>
      <c r="AB31" s="35">
        <f t="shared" si="14"/>
        <v>0</v>
      </c>
      <c r="AC31" s="35">
        <f t="shared" si="15"/>
        <v>78181818.181818247</v>
      </c>
      <c r="AD31" s="15">
        <f t="shared" ca="1" si="6"/>
        <v>-800024.90660024981</v>
      </c>
      <c r="AE31" s="15">
        <f t="shared" si="7"/>
        <v>-96388.542963885513</v>
      </c>
      <c r="AF31" s="34">
        <f t="shared" si="8"/>
        <v>30</v>
      </c>
      <c r="AH31" s="34">
        <v>25</v>
      </c>
      <c r="AI31" s="25">
        <f t="shared" si="25"/>
        <v>25</v>
      </c>
      <c r="AJ31" s="26">
        <f t="shared" si="16"/>
        <v>45061</v>
      </c>
      <c r="AK31" s="27">
        <f t="shared" si="17"/>
        <v>78181818.181818247</v>
      </c>
      <c r="AL31" s="114">
        <f>IF(torlesztes="Egyedi",-SUMIFS(U$7:U$126,T$7:T$126,"&gt;"&amp;AJ30,T$7:T$126,"&lt;="&amp;AJ31),IFERROR(IF(torlesztes="Egyenlő tőke",IF(COUNT($AK$7:AK31)&gt;$D$15,"",-$AK$5/$D$15),0),""))</f>
        <v>-909090.90909090906</v>
      </c>
      <c r="AM31" s="27">
        <f t="shared" ca="1" si="18"/>
        <v>-800024.90660024981</v>
      </c>
      <c r="AN31" s="27">
        <f t="shared" si="19"/>
        <v>78181818.181818247</v>
      </c>
      <c r="AO31" s="27">
        <f>IF(torlesztes="Egyedi",-SUMIFS(U$7:U$126,T$7:T$126,"&gt;"&amp;AJ30,T$7:T$126,"&lt;="&amp;AJ31),IFERROR(IF(torlesztes="Egyenlő tőke",IF(COUNT($AN$7:AN31)&gt;$D$15,"",-$AK$5/$D$15),0),""))</f>
        <v>-909090.90909090906</v>
      </c>
      <c r="AP31" s="27">
        <f t="shared" si="20"/>
        <v>-96388.542963885513</v>
      </c>
      <c r="AR31" s="27">
        <f t="shared" ca="1" si="21"/>
        <v>703636.36363636435</v>
      </c>
      <c r="AS31" s="27">
        <f t="shared" ca="1" si="22"/>
        <v>634884.10687747295</v>
      </c>
      <c r="AT31" s="34">
        <f t="shared" si="9"/>
        <v>30</v>
      </c>
    </row>
    <row r="32" spans="1:46" ht="30" x14ac:dyDescent="0.25">
      <c r="B32" s="105" t="s">
        <v>338</v>
      </c>
      <c r="C32" s="157" t="s">
        <v>321</v>
      </c>
      <c r="E32" s="37"/>
      <c r="J32" s="33" t="b">
        <f t="shared" si="10"/>
        <v>0</v>
      </c>
      <c r="K32" s="33"/>
      <c r="L32" s="87"/>
      <c r="M32" s="86"/>
      <c r="N32" s="20" t="str">
        <f t="shared" si="23"/>
        <v/>
      </c>
      <c r="O32" s="9">
        <f t="shared" si="24"/>
        <v>0</v>
      </c>
      <c r="P32" s="9">
        <f t="shared" si="0"/>
        <v>0</v>
      </c>
      <c r="Q32" s="9">
        <f t="shared" si="1"/>
        <v>0</v>
      </c>
      <c r="R32" s="24" t="str">
        <f t="shared" si="2"/>
        <v/>
      </c>
      <c r="S32" s="36"/>
      <c r="T32" s="88"/>
      <c r="U32" s="86"/>
      <c r="V32" s="20" t="str">
        <f t="shared" si="11"/>
        <v/>
      </c>
      <c r="W32" s="9" t="str">
        <f t="shared" si="12"/>
        <v/>
      </c>
      <c r="X32" s="9" t="str">
        <f t="shared" ca="1" si="3"/>
        <v/>
      </c>
      <c r="Y32" s="9" t="str">
        <f t="shared" si="4"/>
        <v/>
      </c>
      <c r="Z32" s="9" t="str">
        <f t="shared" si="5"/>
        <v/>
      </c>
      <c r="AA32" s="74">
        <f t="shared" si="13"/>
        <v>45061</v>
      </c>
      <c r="AB32" s="35">
        <f t="shared" si="14"/>
        <v>0</v>
      </c>
      <c r="AC32" s="35">
        <f t="shared" si="15"/>
        <v>77272727.27272734</v>
      </c>
      <c r="AD32" s="15">
        <f t="shared" ca="1" si="6"/>
        <v>-817079.70112079778</v>
      </c>
      <c r="AE32" s="15">
        <f t="shared" si="7"/>
        <v>-98443.337484433461</v>
      </c>
      <c r="AF32" s="34">
        <f t="shared" si="8"/>
        <v>31</v>
      </c>
      <c r="AH32" s="34">
        <v>26</v>
      </c>
      <c r="AI32" s="25">
        <f t="shared" si="25"/>
        <v>26</v>
      </c>
      <c r="AJ32" s="26">
        <f t="shared" si="16"/>
        <v>45092</v>
      </c>
      <c r="AK32" s="27">
        <f t="shared" si="17"/>
        <v>77272727.27272734</v>
      </c>
      <c r="AL32" s="114">
        <f>IF(torlesztes="Egyedi",-SUMIFS(U$7:U$126,T$7:T$126,"&gt;"&amp;AJ31,T$7:T$126,"&lt;="&amp;AJ32),IFERROR(IF(torlesztes="Egyenlő tőke",IF(COUNT($AK$7:AK32)&gt;$D$15,"",-$AK$5/$D$15),0),""))</f>
        <v>-909090.90909090906</v>
      </c>
      <c r="AM32" s="27">
        <f t="shared" ca="1" si="18"/>
        <v>-817079.70112079778</v>
      </c>
      <c r="AN32" s="27">
        <f t="shared" si="19"/>
        <v>77272727.27272734</v>
      </c>
      <c r="AO32" s="27">
        <f>IF(torlesztes="Egyedi",-SUMIFS(U$7:U$126,T$7:T$126,"&gt;"&amp;AJ31,T$7:T$126,"&lt;="&amp;AJ32),IFERROR(IF(torlesztes="Egyenlő tőke",IF(COUNT($AN$7:AN32)&gt;$D$15,"",-$AK$5/$D$15),0),""))</f>
        <v>-909090.90909090906</v>
      </c>
      <c r="AP32" s="27">
        <f t="shared" si="20"/>
        <v>-98443.337484433461</v>
      </c>
      <c r="AR32" s="27">
        <f t="shared" ca="1" si="21"/>
        <v>718636.36363636435</v>
      </c>
      <c r="AS32" s="27">
        <f t="shared" ca="1" si="22"/>
        <v>646559.59914553456</v>
      </c>
      <c r="AT32" s="34">
        <f t="shared" si="9"/>
        <v>31</v>
      </c>
    </row>
    <row r="33" spans="1:46" x14ac:dyDescent="0.25">
      <c r="E33" s="37"/>
      <c r="J33" s="33" t="b">
        <f t="shared" si="10"/>
        <v>0</v>
      </c>
      <c r="K33" s="33"/>
      <c r="L33" s="87"/>
      <c r="M33" s="86"/>
      <c r="N33" s="20" t="str">
        <f t="shared" si="23"/>
        <v/>
      </c>
      <c r="O33" s="9">
        <f t="shared" si="24"/>
        <v>0</v>
      </c>
      <c r="P33" s="9">
        <f t="shared" si="0"/>
        <v>0</v>
      </c>
      <c r="Q33" s="9">
        <f t="shared" si="1"/>
        <v>0</v>
      </c>
      <c r="R33" s="24" t="str">
        <f t="shared" si="2"/>
        <v/>
      </c>
      <c r="S33" s="36"/>
      <c r="T33" s="88"/>
      <c r="U33" s="86"/>
      <c r="V33" s="20" t="str">
        <f t="shared" si="11"/>
        <v/>
      </c>
      <c r="W33" s="9" t="str">
        <f t="shared" si="12"/>
        <v/>
      </c>
      <c r="X33" s="9" t="str">
        <f t="shared" ca="1" si="3"/>
        <v/>
      </c>
      <c r="Y33" s="9" t="str">
        <f t="shared" si="4"/>
        <v/>
      </c>
      <c r="Z33" s="9" t="str">
        <f t="shared" si="5"/>
        <v/>
      </c>
      <c r="AA33" s="74">
        <f t="shared" si="13"/>
        <v>45092</v>
      </c>
      <c r="AB33" s="35">
        <f t="shared" si="14"/>
        <v>0</v>
      </c>
      <c r="AC33" s="35">
        <f t="shared" si="15"/>
        <v>76363636.363636434</v>
      </c>
      <c r="AD33" s="15">
        <f t="shared" ca="1" si="6"/>
        <v>-781419.67621419742</v>
      </c>
      <c r="AE33" s="15">
        <f t="shared" si="7"/>
        <v>-94146.948941469585</v>
      </c>
      <c r="AF33" s="34">
        <f t="shared" si="8"/>
        <v>30</v>
      </c>
      <c r="AH33" s="34">
        <v>27</v>
      </c>
      <c r="AI33" s="25">
        <f t="shared" si="25"/>
        <v>27</v>
      </c>
      <c r="AJ33" s="26">
        <f t="shared" si="16"/>
        <v>45122</v>
      </c>
      <c r="AK33" s="27">
        <f t="shared" si="17"/>
        <v>76363636.363636434</v>
      </c>
      <c r="AL33" s="114">
        <f>IF(torlesztes="Egyedi",-SUMIFS(U$7:U$126,T$7:T$126,"&gt;"&amp;AJ32,T$7:T$126,"&lt;="&amp;AJ33),IFERROR(IF(torlesztes="Egyenlő tőke",IF(COUNT($AK$7:AK33)&gt;$D$15,"",-$AK$5/$D$15),0),""))</f>
        <v>-909090.90909090906</v>
      </c>
      <c r="AM33" s="27">
        <f t="shared" ca="1" si="18"/>
        <v>-781419.67621419742</v>
      </c>
      <c r="AN33" s="27">
        <f t="shared" si="19"/>
        <v>76363636.363636434</v>
      </c>
      <c r="AO33" s="27">
        <f>IF(torlesztes="Egyedi",-SUMIFS(U$7:U$126,T$7:T$126,"&gt;"&amp;AJ32,T$7:T$126,"&lt;="&amp;AJ33),IFERROR(IF(torlesztes="Egyenlő tőke",IF(COUNT($AN$7:AN33)&gt;$D$15,"",-$AK$5/$D$15),0),""))</f>
        <v>-909090.90909090906</v>
      </c>
      <c r="AP33" s="27">
        <f t="shared" si="20"/>
        <v>-94146.948941469585</v>
      </c>
      <c r="AR33" s="27">
        <f t="shared" ca="1" si="21"/>
        <v>687272.72727272788</v>
      </c>
      <c r="AS33" s="27">
        <f t="shared" ca="1" si="22"/>
        <v>616568.99217283411</v>
      </c>
      <c r="AT33" s="34">
        <f t="shared" si="9"/>
        <v>30</v>
      </c>
    </row>
    <row r="34" spans="1:46" ht="30" x14ac:dyDescent="0.25">
      <c r="B34" s="105" t="s">
        <v>315</v>
      </c>
      <c r="C34" s="145" t="s">
        <v>341</v>
      </c>
      <c r="E34" s="37"/>
      <c r="J34" s="33" t="b">
        <f t="shared" si="10"/>
        <v>0</v>
      </c>
      <c r="K34" s="33"/>
      <c r="L34" s="87"/>
      <c r="M34" s="86"/>
      <c r="N34" s="20" t="str">
        <f t="shared" si="23"/>
        <v/>
      </c>
      <c r="O34" s="9">
        <f t="shared" si="24"/>
        <v>0</v>
      </c>
      <c r="P34" s="9">
        <f t="shared" si="0"/>
        <v>0</v>
      </c>
      <c r="Q34" s="9">
        <f t="shared" si="1"/>
        <v>0</v>
      </c>
      <c r="R34" s="24" t="str">
        <f t="shared" si="2"/>
        <v/>
      </c>
      <c r="S34" s="36"/>
      <c r="T34" s="88"/>
      <c r="U34" s="86"/>
      <c r="V34" s="20" t="str">
        <f t="shared" si="11"/>
        <v/>
      </c>
      <c r="W34" s="9" t="str">
        <f t="shared" si="12"/>
        <v/>
      </c>
      <c r="X34" s="9" t="str">
        <f t="shared" ca="1" si="3"/>
        <v/>
      </c>
      <c r="Y34" s="9" t="str">
        <f t="shared" si="4"/>
        <v/>
      </c>
      <c r="Z34" s="9" t="str">
        <f t="shared" si="5"/>
        <v/>
      </c>
      <c r="AA34" s="74">
        <f t="shared" si="13"/>
        <v>45122</v>
      </c>
      <c r="AB34" s="35">
        <f t="shared" si="14"/>
        <v>0</v>
      </c>
      <c r="AC34" s="35">
        <f t="shared" si="15"/>
        <v>75454545.454545528</v>
      </c>
      <c r="AD34" s="15">
        <f t="shared" ca="1" si="6"/>
        <v>-797854.29638854368</v>
      </c>
      <c r="AE34" s="15">
        <f t="shared" si="7"/>
        <v>-96127.023661270316</v>
      </c>
      <c r="AF34" s="34">
        <f t="shared" si="8"/>
        <v>31</v>
      </c>
      <c r="AH34" s="34">
        <v>28</v>
      </c>
      <c r="AI34" s="25">
        <f t="shared" si="25"/>
        <v>28</v>
      </c>
      <c r="AJ34" s="26">
        <f t="shared" si="16"/>
        <v>45153</v>
      </c>
      <c r="AK34" s="27">
        <f t="shared" si="17"/>
        <v>75454545.454545528</v>
      </c>
      <c r="AL34" s="114">
        <f>IF(torlesztes="Egyedi",-SUMIFS(U$7:U$126,T$7:T$126,"&gt;"&amp;AJ33,T$7:T$126,"&lt;="&amp;AJ34),IFERROR(IF(torlesztes="Egyenlő tőke",IF(COUNT($AK$7:AK34)&gt;$D$15,"",-$AK$5/$D$15),0),""))</f>
        <v>-909090.90909090906</v>
      </c>
      <c r="AM34" s="27">
        <f t="shared" ca="1" si="18"/>
        <v>-797854.29638854368</v>
      </c>
      <c r="AN34" s="27">
        <f t="shared" si="19"/>
        <v>75454545.454545528</v>
      </c>
      <c r="AO34" s="27">
        <f>IF(torlesztes="Egyedi",-SUMIFS(U$7:U$126,T$7:T$126,"&gt;"&amp;AJ33,T$7:T$126,"&lt;="&amp;AJ34),IFERROR(IF(torlesztes="Egyenlő tőke",IF(COUNT($AN$7:AN34)&gt;$D$15,"",-$AK$5/$D$15),0),""))</f>
        <v>-909090.90909090906</v>
      </c>
      <c r="AP34" s="27">
        <f t="shared" si="20"/>
        <v>-96127.023661270316</v>
      </c>
      <c r="AR34" s="27">
        <f t="shared" ca="1" si="21"/>
        <v>701727.2727272734</v>
      </c>
      <c r="AS34" s="27">
        <f t="shared" ca="1" si="22"/>
        <v>627731.78574325086</v>
      </c>
      <c r="AT34" s="34">
        <f t="shared" si="9"/>
        <v>31</v>
      </c>
    </row>
    <row r="35" spans="1:46" x14ac:dyDescent="0.25">
      <c r="D35" s="10"/>
      <c r="E35" s="37"/>
      <c r="J35" s="33" t="b">
        <f t="shared" si="10"/>
        <v>0</v>
      </c>
      <c r="K35" s="33"/>
      <c r="L35" s="87"/>
      <c r="M35" s="86"/>
      <c r="N35" s="20" t="str">
        <f t="shared" si="23"/>
        <v/>
      </c>
      <c r="O35" s="9">
        <f t="shared" si="24"/>
        <v>0</v>
      </c>
      <c r="P35" s="9">
        <f t="shared" si="0"/>
        <v>0</v>
      </c>
      <c r="Q35" s="9">
        <f t="shared" si="1"/>
        <v>0</v>
      </c>
      <c r="R35" s="24" t="str">
        <f t="shared" si="2"/>
        <v/>
      </c>
      <c r="S35" s="36"/>
      <c r="T35" s="88"/>
      <c r="U35" s="86"/>
      <c r="V35" s="20" t="str">
        <f t="shared" si="11"/>
        <v/>
      </c>
      <c r="W35" s="9" t="str">
        <f t="shared" si="12"/>
        <v/>
      </c>
      <c r="X35" s="9" t="str">
        <f t="shared" ca="1" si="3"/>
        <v/>
      </c>
      <c r="Y35" s="9" t="str">
        <f t="shared" si="4"/>
        <v/>
      </c>
      <c r="Z35" s="9" t="str">
        <f t="shared" si="5"/>
        <v/>
      </c>
      <c r="AA35" s="74">
        <f t="shared" si="13"/>
        <v>45153</v>
      </c>
      <c r="AB35" s="35">
        <f t="shared" si="14"/>
        <v>0</v>
      </c>
      <c r="AC35" s="35">
        <f t="shared" si="15"/>
        <v>74545454.545454621</v>
      </c>
      <c r="AD35" s="15">
        <f t="shared" ca="1" si="6"/>
        <v>-788241.59402241686</v>
      </c>
      <c r="AE35" s="15">
        <f t="shared" si="7"/>
        <v>-94968.866749688765</v>
      </c>
      <c r="AF35" s="34">
        <f t="shared" si="8"/>
        <v>31</v>
      </c>
      <c r="AH35" s="34">
        <v>29</v>
      </c>
      <c r="AI35" s="25">
        <f t="shared" si="25"/>
        <v>29</v>
      </c>
      <c r="AJ35" s="26">
        <f t="shared" si="16"/>
        <v>45184</v>
      </c>
      <c r="AK35" s="27">
        <f t="shared" si="17"/>
        <v>74545454.545454621</v>
      </c>
      <c r="AL35" s="114">
        <f>IF(torlesztes="Egyedi",-SUMIFS(U$7:U$126,T$7:T$126,"&gt;"&amp;AJ34,T$7:T$126,"&lt;="&amp;AJ35),IFERROR(IF(torlesztes="Egyenlő tőke",IF(COUNT($AK$7:AK35)&gt;$D$15,"",-$AK$5/$D$15),0),""))</f>
        <v>-909090.90909090906</v>
      </c>
      <c r="AM35" s="27">
        <f t="shared" ca="1" si="18"/>
        <v>-788241.59402241686</v>
      </c>
      <c r="AN35" s="27">
        <f t="shared" si="19"/>
        <v>74545454.545454621</v>
      </c>
      <c r="AO35" s="27">
        <f>IF(torlesztes="Egyedi",-SUMIFS(U$7:U$126,T$7:T$126,"&gt;"&amp;AJ34,T$7:T$126,"&lt;="&amp;AJ35),IFERROR(IF(torlesztes="Egyenlő tőke",IF(COUNT($AN$7:AN35)&gt;$D$15,"",-$AK$5/$D$15),0),""))</f>
        <v>-909090.90909090906</v>
      </c>
      <c r="AP35" s="27">
        <f t="shared" si="20"/>
        <v>-94968.866749688765</v>
      </c>
      <c r="AR35" s="27">
        <f t="shared" ca="1" si="21"/>
        <v>693272.72727272811</v>
      </c>
      <c r="AS35" s="27">
        <f t="shared" ca="1" si="22"/>
        <v>618390.87840466585</v>
      </c>
      <c r="AT35" s="34">
        <f t="shared" si="9"/>
        <v>31</v>
      </c>
    </row>
    <row r="36" spans="1:46" x14ac:dyDescent="0.25">
      <c r="B36" s="149" t="s">
        <v>313</v>
      </c>
      <c r="C36" s="150" t="s">
        <v>115</v>
      </c>
      <c r="E36" s="37"/>
      <c r="J36" s="33" t="b">
        <f t="shared" si="10"/>
        <v>0</v>
      </c>
      <c r="K36" s="33"/>
      <c r="L36" s="87"/>
      <c r="M36" s="86"/>
      <c r="N36" s="20" t="str">
        <f t="shared" si="23"/>
        <v/>
      </c>
      <c r="O36" s="9">
        <f t="shared" si="24"/>
        <v>0</v>
      </c>
      <c r="P36" s="9">
        <f t="shared" si="0"/>
        <v>0</v>
      </c>
      <c r="Q36" s="9">
        <f t="shared" si="1"/>
        <v>0</v>
      </c>
      <c r="R36" s="24" t="str">
        <f t="shared" si="2"/>
        <v/>
      </c>
      <c r="S36" s="36"/>
      <c r="T36" s="88"/>
      <c r="U36" s="86"/>
      <c r="V36" s="20" t="str">
        <f t="shared" si="11"/>
        <v/>
      </c>
      <c r="W36" s="9" t="str">
        <f t="shared" si="12"/>
        <v/>
      </c>
      <c r="X36" s="9" t="str">
        <f t="shared" ca="1" si="3"/>
        <v/>
      </c>
      <c r="Y36" s="9" t="str">
        <f t="shared" si="4"/>
        <v/>
      </c>
      <c r="Z36" s="9" t="str">
        <f t="shared" si="5"/>
        <v/>
      </c>
      <c r="AA36" s="74">
        <f t="shared" si="13"/>
        <v>45184</v>
      </c>
      <c r="AB36" s="35">
        <f t="shared" si="14"/>
        <v>0</v>
      </c>
      <c r="AC36" s="35">
        <f t="shared" si="15"/>
        <v>73636363.636363715</v>
      </c>
      <c r="AD36" s="15">
        <f t="shared" ca="1" si="6"/>
        <v>-753511.83063511911</v>
      </c>
      <c r="AE36" s="15">
        <f t="shared" si="7"/>
        <v>-90784.557907845679</v>
      </c>
      <c r="AF36" s="34">
        <f t="shared" si="8"/>
        <v>30</v>
      </c>
      <c r="AH36" s="34">
        <v>30</v>
      </c>
      <c r="AI36" s="25">
        <f t="shared" si="25"/>
        <v>30</v>
      </c>
      <c r="AJ36" s="26">
        <f t="shared" si="16"/>
        <v>45214</v>
      </c>
      <c r="AK36" s="27">
        <f t="shared" si="17"/>
        <v>73636363.636363715</v>
      </c>
      <c r="AL36" s="114">
        <f>IF(torlesztes="Egyedi",-SUMIFS(U$7:U$126,T$7:T$126,"&gt;"&amp;AJ35,T$7:T$126,"&lt;="&amp;AJ36),IFERROR(IF(torlesztes="Egyenlő tőke",IF(COUNT($AK$7:AK36)&gt;$D$15,"",-$AK$5/$D$15),0),""))</f>
        <v>-909090.90909090906</v>
      </c>
      <c r="AM36" s="27">
        <f t="shared" ca="1" si="18"/>
        <v>-753511.83063511911</v>
      </c>
      <c r="AN36" s="27">
        <f t="shared" si="19"/>
        <v>73636363.636363715</v>
      </c>
      <c r="AO36" s="27">
        <f>IF(torlesztes="Egyedi",-SUMIFS(U$7:U$126,T$7:T$126,"&gt;"&amp;AJ35,T$7:T$126,"&lt;="&amp;AJ36),IFERROR(IF(torlesztes="Egyenlő tőke",IF(COUNT($AN$7:AN36)&gt;$D$15,"",-$AK$5/$D$15),0),""))</f>
        <v>-909090.90909090906</v>
      </c>
      <c r="AP36" s="27">
        <f t="shared" si="20"/>
        <v>-90784.557907845679</v>
      </c>
      <c r="AR36" s="27">
        <f t="shared" ca="1" si="21"/>
        <v>662727.2727272734</v>
      </c>
      <c r="AS36" s="27">
        <f t="shared" ca="1" si="22"/>
        <v>589450.03395463759</v>
      </c>
      <c r="AT36" s="34">
        <f t="shared" si="9"/>
        <v>30</v>
      </c>
    </row>
    <row r="37" spans="1:46" x14ac:dyDescent="0.25">
      <c r="B37" s="151" t="s">
        <v>314</v>
      </c>
      <c r="C37" s="152" t="s">
        <v>108</v>
      </c>
      <c r="E37" s="37"/>
      <c r="J37" s="33" t="b">
        <f t="shared" si="10"/>
        <v>0</v>
      </c>
      <c r="K37" s="33"/>
      <c r="L37" s="87"/>
      <c r="M37" s="86"/>
      <c r="N37" s="20" t="str">
        <f t="shared" si="23"/>
        <v/>
      </c>
      <c r="O37" s="9">
        <f t="shared" si="24"/>
        <v>0</v>
      </c>
      <c r="P37" s="9">
        <f t="shared" si="0"/>
        <v>0</v>
      </c>
      <c r="Q37" s="9">
        <f t="shared" si="1"/>
        <v>0</v>
      </c>
      <c r="R37" s="24" t="str">
        <f t="shared" si="2"/>
        <v/>
      </c>
      <c r="S37" s="36"/>
      <c r="T37" s="88"/>
      <c r="U37" s="86"/>
      <c r="V37" s="20" t="str">
        <f t="shared" si="11"/>
        <v/>
      </c>
      <c r="W37" s="9" t="str">
        <f t="shared" si="12"/>
        <v/>
      </c>
      <c r="X37" s="9" t="str">
        <f t="shared" ca="1" si="3"/>
        <v/>
      </c>
      <c r="Y37" s="9" t="str">
        <f t="shared" si="4"/>
        <v/>
      </c>
      <c r="Z37" s="9" t="str">
        <f t="shared" si="5"/>
        <v/>
      </c>
      <c r="AA37" s="74">
        <f t="shared" si="13"/>
        <v>45214</v>
      </c>
      <c r="AB37" s="35">
        <f t="shared" si="14"/>
        <v>0</v>
      </c>
      <c r="AC37" s="35">
        <f t="shared" si="15"/>
        <v>72727272.727272809</v>
      </c>
      <c r="AD37" s="15">
        <f t="shared" ca="1" si="6"/>
        <v>-769016.18929016276</v>
      </c>
      <c r="AE37" s="15">
        <f t="shared" si="7"/>
        <v>-92652.552926525619</v>
      </c>
      <c r="AF37" s="34">
        <f t="shared" si="8"/>
        <v>31</v>
      </c>
      <c r="AH37" s="34">
        <v>31</v>
      </c>
      <c r="AI37" s="25">
        <f t="shared" si="25"/>
        <v>31</v>
      </c>
      <c r="AJ37" s="26">
        <f t="shared" si="16"/>
        <v>45245</v>
      </c>
      <c r="AK37" s="27">
        <f t="shared" si="17"/>
        <v>72727272.727272809</v>
      </c>
      <c r="AL37" s="114">
        <f>IF(torlesztes="Egyedi",-SUMIFS(U$7:U$126,T$7:T$126,"&gt;"&amp;AJ36,T$7:T$126,"&lt;="&amp;AJ37),IFERROR(IF(torlesztes="Egyenlő tőke",IF(COUNT($AK$7:AK37)&gt;$D$15,"",-$AK$5/$D$15),0),""))</f>
        <v>-909090.90909090906</v>
      </c>
      <c r="AM37" s="27">
        <f t="shared" ca="1" si="18"/>
        <v>-769016.18929016276</v>
      </c>
      <c r="AN37" s="27">
        <f t="shared" si="19"/>
        <v>72727272.727272809</v>
      </c>
      <c r="AO37" s="27">
        <f>IF(torlesztes="Egyedi",-SUMIFS(U$7:U$126,T$7:T$126,"&gt;"&amp;AJ36,T$7:T$126,"&lt;="&amp;AJ37),IFERROR(IF(torlesztes="Egyenlő tőke",IF(COUNT($AN$7:AN37)&gt;$D$15,"",-$AK$5/$D$15),0),""))</f>
        <v>-909090.90909090906</v>
      </c>
      <c r="AP37" s="27">
        <f t="shared" si="20"/>
        <v>-92652.552926525619</v>
      </c>
      <c r="AR37" s="27">
        <f t="shared" ca="1" si="21"/>
        <v>676363.63636363717</v>
      </c>
      <c r="AS37" s="27">
        <f t="shared" ca="1" si="22"/>
        <v>599854.05506801768</v>
      </c>
      <c r="AT37" s="34">
        <f t="shared" si="9"/>
        <v>31</v>
      </c>
    </row>
    <row r="38" spans="1:46" x14ac:dyDescent="0.25">
      <c r="E38" s="37"/>
      <c r="J38" s="33" t="b">
        <f t="shared" si="10"/>
        <v>0</v>
      </c>
      <c r="K38" s="33"/>
      <c r="L38" s="87"/>
      <c r="M38" s="86"/>
      <c r="N38" s="20" t="str">
        <f t="shared" si="23"/>
        <v/>
      </c>
      <c r="O38" s="9">
        <f t="shared" si="24"/>
        <v>0</v>
      </c>
      <c r="P38" s="9">
        <f t="shared" si="0"/>
        <v>0</v>
      </c>
      <c r="Q38" s="9">
        <f t="shared" si="1"/>
        <v>0</v>
      </c>
      <c r="R38" s="24" t="str">
        <f t="shared" si="2"/>
        <v/>
      </c>
      <c r="S38" s="36"/>
      <c r="T38" s="88"/>
      <c r="U38" s="86"/>
      <c r="V38" s="20" t="str">
        <f t="shared" si="11"/>
        <v/>
      </c>
      <c r="W38" s="9" t="str">
        <f t="shared" si="12"/>
        <v/>
      </c>
      <c r="X38" s="9" t="str">
        <f t="shared" ca="1" si="3"/>
        <v/>
      </c>
      <c r="Y38" s="9" t="str">
        <f t="shared" si="4"/>
        <v/>
      </c>
      <c r="Z38" s="9" t="str">
        <f t="shared" si="5"/>
        <v/>
      </c>
      <c r="AA38" s="74">
        <f t="shared" si="13"/>
        <v>45245</v>
      </c>
      <c r="AB38" s="35">
        <f t="shared" si="14"/>
        <v>0</v>
      </c>
      <c r="AC38" s="35">
        <f t="shared" si="15"/>
        <v>71818181.818181902</v>
      </c>
      <c r="AD38" s="15">
        <f t="shared" ca="1" si="6"/>
        <v>-734906.60024906683</v>
      </c>
      <c r="AE38" s="15">
        <f t="shared" si="7"/>
        <v>-88542.963885429737</v>
      </c>
      <c r="AF38" s="34">
        <f t="shared" si="8"/>
        <v>30</v>
      </c>
      <c r="AH38" s="34">
        <v>32</v>
      </c>
      <c r="AI38" s="25">
        <f t="shared" si="25"/>
        <v>32</v>
      </c>
      <c r="AJ38" s="26">
        <f t="shared" si="16"/>
        <v>45275</v>
      </c>
      <c r="AK38" s="27">
        <f t="shared" si="17"/>
        <v>71818181.818181902</v>
      </c>
      <c r="AL38" s="114">
        <f>IF(torlesztes="Egyedi",-SUMIFS(U$7:U$126,T$7:T$126,"&gt;"&amp;AJ37,T$7:T$126,"&lt;="&amp;AJ38),IFERROR(IF(torlesztes="Egyenlő tőke",IF(COUNT($AK$7:AK38)&gt;$D$15,"",-$AK$5/$D$15),0),""))</f>
        <v>-909090.90909090906</v>
      </c>
      <c r="AM38" s="27">
        <f t="shared" ca="1" si="18"/>
        <v>-734906.60024906683</v>
      </c>
      <c r="AN38" s="27">
        <f t="shared" si="19"/>
        <v>71818181.818181902</v>
      </c>
      <c r="AO38" s="27">
        <f>IF(torlesztes="Egyedi",-SUMIFS(U$7:U$126,T$7:T$126,"&gt;"&amp;AJ37,T$7:T$126,"&lt;="&amp;AJ38),IFERROR(IF(torlesztes="Egyenlő tőke",IF(COUNT($AN$7:AN38)&gt;$D$15,"",-$AK$5/$D$15),0),""))</f>
        <v>-909090.90909090906</v>
      </c>
      <c r="AP38" s="27">
        <f t="shared" si="20"/>
        <v>-88542.963885429737</v>
      </c>
      <c r="AR38" s="27">
        <f t="shared" ca="1" si="21"/>
        <v>646363.63636363705</v>
      </c>
      <c r="AS38" s="27">
        <f t="shared" ca="1" si="22"/>
        <v>571604.26295014797</v>
      </c>
      <c r="AT38" s="34">
        <f t="shared" si="9"/>
        <v>30</v>
      </c>
    </row>
    <row r="39" spans="1:46" ht="15.75" x14ac:dyDescent="0.25">
      <c r="B39" s="101" t="s">
        <v>340</v>
      </c>
      <c r="C39" s="79"/>
      <c r="E39" s="37"/>
      <c r="J39" s="33" t="b">
        <f t="shared" si="10"/>
        <v>0</v>
      </c>
      <c r="K39" s="33"/>
      <c r="L39" s="87"/>
      <c r="M39" s="86"/>
      <c r="N39" s="20" t="str">
        <f t="shared" si="23"/>
        <v/>
      </c>
      <c r="O39" s="9">
        <f t="shared" si="24"/>
        <v>0</v>
      </c>
      <c r="P39" s="9">
        <f t="shared" ref="P39:P70" si="26">IF(AND(ISBLANK(L38),AH39&lt;&gt;1),0,IFERROR(-O39*piacikamat/365*(IF(ISBLANK(L39),$C$27,L39)-N39),""))</f>
        <v>0</v>
      </c>
      <c r="Q39" s="9">
        <f t="shared" ref="Q39:Q70" si="27">IF(AND(ISBLANK(L38),AH39&lt;&gt;1),0,IFERROR(-O39*tenylegeskamat/365*(IF(ISBLANK(L39),$C$27,L39)-N39),""))</f>
        <v>0</v>
      </c>
      <c r="R39" s="24" t="str">
        <f t="shared" ref="R39:R70" si="28">IFERROR(IF(ISBLANK(L39),$C$27,L39)-N39,"")</f>
        <v/>
      </c>
      <c r="S39" s="36"/>
      <c r="T39" s="88"/>
      <c r="U39" s="86"/>
      <c r="V39" s="20" t="str">
        <f t="shared" si="11"/>
        <v/>
      </c>
      <c r="W39" s="9" t="str">
        <f t="shared" si="12"/>
        <v/>
      </c>
      <c r="X39" s="9" t="str">
        <f t="shared" ca="1" si="3"/>
        <v/>
      </c>
      <c r="Y39" s="9" t="str">
        <f t="shared" si="4"/>
        <v/>
      </c>
      <c r="Z39" s="9" t="str">
        <f t="shared" si="5"/>
        <v/>
      </c>
      <c r="AA39" s="74">
        <f t="shared" si="13"/>
        <v>45275</v>
      </c>
      <c r="AB39" s="35">
        <f t="shared" si="14"/>
        <v>0</v>
      </c>
      <c r="AC39" s="35">
        <f t="shared" si="15"/>
        <v>70909090.909090996</v>
      </c>
      <c r="AD39" s="15">
        <f t="shared" ca="1" si="6"/>
        <v>-749790.78455790877</v>
      </c>
      <c r="AE39" s="15">
        <f t="shared" si="7"/>
        <v>-90336.239103362503</v>
      </c>
      <c r="AF39" s="34">
        <f t="shared" si="8"/>
        <v>31</v>
      </c>
      <c r="AH39" s="34">
        <v>33</v>
      </c>
      <c r="AI39" s="25">
        <f t="shared" si="25"/>
        <v>33</v>
      </c>
      <c r="AJ39" s="26">
        <f t="shared" si="16"/>
        <v>45306</v>
      </c>
      <c r="AK39" s="27">
        <f t="shared" si="17"/>
        <v>70909090.909090996</v>
      </c>
      <c r="AL39" s="114">
        <f>IF(torlesztes="Egyedi",-SUMIFS(U$7:U$126,T$7:T$126,"&gt;"&amp;AJ38,T$7:T$126,"&lt;="&amp;AJ39),IFERROR(IF(torlesztes="Egyenlő tőke",IF(COUNT($AK$7:AK39)&gt;$D$15,"",-$AK$5/$D$15),0),""))</f>
        <v>-909090.90909090906</v>
      </c>
      <c r="AM39" s="27">
        <f t="shared" ca="1" si="18"/>
        <v>-749790.78455790877</v>
      </c>
      <c r="AN39" s="27">
        <f t="shared" si="19"/>
        <v>70909090.909090996</v>
      </c>
      <c r="AO39" s="27">
        <f>IF(torlesztes="Egyedi",-SUMIFS(U$7:U$126,T$7:T$126,"&gt;"&amp;AJ38,T$7:T$126,"&lt;="&amp;AJ39),IFERROR(IF(torlesztes="Egyenlő tőke",IF(COUNT($AN$7:AN39)&gt;$D$15,"",-$AK$5/$D$15),0),""))</f>
        <v>-909090.90909090906</v>
      </c>
      <c r="AP39" s="27">
        <f t="shared" si="20"/>
        <v>-90336.239103362503</v>
      </c>
      <c r="AR39" s="27">
        <f t="shared" ca="1" si="21"/>
        <v>659454.54545454623</v>
      </c>
      <c r="AS39" s="27">
        <f t="shared" ca="1" si="22"/>
        <v>581509.21914409904</v>
      </c>
      <c r="AT39" s="34">
        <f t="shared" si="9"/>
        <v>31</v>
      </c>
    </row>
    <row r="40" spans="1:46" x14ac:dyDescent="0.25">
      <c r="B40" s="160" t="s">
        <v>297</v>
      </c>
      <c r="C40" s="163"/>
      <c r="E40" s="37"/>
      <c r="J40" s="33" t="b">
        <f t="shared" si="10"/>
        <v>0</v>
      </c>
      <c r="K40" s="33"/>
      <c r="L40" s="87"/>
      <c r="M40" s="86"/>
      <c r="N40" s="20" t="str">
        <f t="shared" si="23"/>
        <v/>
      </c>
      <c r="O40" s="9">
        <f t="shared" si="24"/>
        <v>0</v>
      </c>
      <c r="P40" s="9">
        <f t="shared" si="26"/>
        <v>0</v>
      </c>
      <c r="Q40" s="9">
        <f t="shared" si="27"/>
        <v>0</v>
      </c>
      <c r="R40" s="24" t="str">
        <f t="shared" si="28"/>
        <v/>
      </c>
      <c r="S40" s="36"/>
      <c r="T40" s="88"/>
      <c r="U40" s="86"/>
      <c r="V40" s="20" t="str">
        <f t="shared" si="11"/>
        <v/>
      </c>
      <c r="W40" s="9" t="str">
        <f t="shared" si="12"/>
        <v/>
      </c>
      <c r="X40" s="9" t="str">
        <f t="shared" ca="1" si="3"/>
        <v/>
      </c>
      <c r="Y40" s="9" t="str">
        <f t="shared" si="4"/>
        <v/>
      </c>
      <c r="Z40" s="9" t="str">
        <f t="shared" si="5"/>
        <v/>
      </c>
      <c r="AA40" s="74">
        <f t="shared" si="13"/>
        <v>45306</v>
      </c>
      <c r="AB40" s="35">
        <f t="shared" si="14"/>
        <v>0</v>
      </c>
      <c r="AC40" s="35">
        <f t="shared" si="15"/>
        <v>70000000.000000089</v>
      </c>
      <c r="AD40" s="15">
        <f t="shared" ca="1" si="6"/>
        <v>-740178.08219178172</v>
      </c>
      <c r="AE40" s="15">
        <f t="shared" si="7"/>
        <v>-89178.082191780937</v>
      </c>
      <c r="AF40" s="34">
        <f t="shared" si="8"/>
        <v>31</v>
      </c>
      <c r="AH40" s="34">
        <v>34</v>
      </c>
      <c r="AI40" s="25">
        <f t="shared" si="25"/>
        <v>34</v>
      </c>
      <c r="AJ40" s="26">
        <f t="shared" ref="AJ40:AJ71" si="29">IF(OR(AJ39=$C$28,AJ39=""),"",IFERROR(IF(EDATE($C$27,(AH40-1)*12/$D$19)&lt;=$C$28,EDATE($C$27,(AH40-1)*12/$D$19),$C$28),""))</f>
        <v>45337</v>
      </c>
      <c r="AK40" s="27">
        <f t="shared" si="17"/>
        <v>70000000.000000089</v>
      </c>
      <c r="AL40" s="114">
        <f>IF(torlesztes="Egyedi",-SUMIFS(U$7:U$126,T$7:T$126,"&gt;"&amp;AJ39,T$7:T$126,"&lt;="&amp;AJ40),IFERROR(IF(torlesztes="Egyenlő tőke",IF(COUNT($AK$7:AK40)&gt;$D$15,"",-$AK$5/$D$15),0),""))</f>
        <v>-909090.90909090906</v>
      </c>
      <c r="AM40" s="27">
        <f t="shared" ref="AM40:AM71" ca="1" si="30">IF(torlesztes="Egyedi",SUMIFS(X$7:X$126,T$7:T$126,"&gt;"&amp;AJ39,T$7:T$126,"&lt;="&amp;AJ40)+AD40,IFERROR(-AK40*piacikamat/365*(AJ40-AJ39),""))</f>
        <v>-740178.08219178172</v>
      </c>
      <c r="AN40" s="27">
        <f t="shared" si="19"/>
        <v>70000000.000000089</v>
      </c>
      <c r="AO40" s="27">
        <f>IF(torlesztes="Egyedi",-SUMIFS(U$7:U$126,T$7:T$126,"&gt;"&amp;AJ39,T$7:T$126,"&lt;="&amp;AJ40),IFERROR(IF(torlesztes="Egyenlő tőke",IF(COUNT($AN$7:AN40)&gt;$D$15,"",-$AK$5/$D$15),0),""))</f>
        <v>-909090.90909090906</v>
      </c>
      <c r="AP40" s="27">
        <f t="shared" ref="AP40:AP71" si="31">IF(torlesztes="Egyedi",SUMIFS(Y$7:Y$126,T$7:T$126,"&gt;"&amp;AJ39,T$7:T$126,"&lt;="&amp;AJ40)+AE40,IFERROR(-AN40*tenylegeskamat/365*(AJ40-AJ39),""))</f>
        <v>-89178.082191780937</v>
      </c>
      <c r="AR40" s="27">
        <f t="shared" ca="1" si="21"/>
        <v>651000.00000000081</v>
      </c>
      <c r="AS40" s="27">
        <f t="shared" ref="AS40:AS71" ca="1" si="32">IFERROR(AR40/POWER(1+($C$11+1%)/$D$19,AI40-1)/(1+($C$11+1%)/365*($AJ$7-$C$25)),"")</f>
        <v>572408.29888551997</v>
      </c>
      <c r="AT40" s="34">
        <f t="shared" si="9"/>
        <v>31</v>
      </c>
    </row>
    <row r="41" spans="1:46" x14ac:dyDescent="0.25">
      <c r="B41" s="160" t="s">
        <v>298</v>
      </c>
      <c r="C41" s="143"/>
      <c r="E41" s="37"/>
      <c r="H41" s="10"/>
      <c r="I41" s="10"/>
      <c r="J41" s="33" t="b">
        <f t="shared" si="10"/>
        <v>0</v>
      </c>
      <c r="K41" s="33"/>
      <c r="L41" s="87"/>
      <c r="M41" s="86"/>
      <c r="N41" s="20" t="str">
        <f t="shared" si="23"/>
        <v/>
      </c>
      <c r="O41" s="9">
        <f t="shared" si="24"/>
        <v>0</v>
      </c>
      <c r="P41" s="9">
        <f t="shared" si="26"/>
        <v>0</v>
      </c>
      <c r="Q41" s="9">
        <f t="shared" si="27"/>
        <v>0</v>
      </c>
      <c r="R41" s="24" t="str">
        <f t="shared" si="28"/>
        <v/>
      </c>
      <c r="S41" s="36"/>
      <c r="T41" s="88"/>
      <c r="U41" s="86"/>
      <c r="V41" s="20" t="str">
        <f t="shared" si="11"/>
        <v/>
      </c>
      <c r="W41" s="9" t="str">
        <f t="shared" si="12"/>
        <v/>
      </c>
      <c r="X41" s="9" t="str">
        <f t="shared" ca="1" si="3"/>
        <v/>
      </c>
      <c r="Y41" s="9" t="str">
        <f t="shared" si="4"/>
        <v/>
      </c>
      <c r="Z41" s="9" t="str">
        <f t="shared" si="5"/>
        <v/>
      </c>
      <c r="AA41" s="74">
        <f t="shared" si="13"/>
        <v>45337</v>
      </c>
      <c r="AB41" s="35">
        <f t="shared" si="14"/>
        <v>0</v>
      </c>
      <c r="AC41" s="35">
        <f t="shared" si="15"/>
        <v>69090909.090909183</v>
      </c>
      <c r="AD41" s="15">
        <f t="shared" ca="1" si="6"/>
        <v>-683432.12951432215</v>
      </c>
      <c r="AE41" s="15">
        <f t="shared" si="7"/>
        <v>-82341.22042341232</v>
      </c>
      <c r="AF41" s="34">
        <f t="shared" si="8"/>
        <v>29</v>
      </c>
      <c r="AH41" s="34">
        <v>35</v>
      </c>
      <c r="AI41" s="25">
        <f t="shared" si="25"/>
        <v>35</v>
      </c>
      <c r="AJ41" s="26">
        <f t="shared" si="29"/>
        <v>45366</v>
      </c>
      <c r="AK41" s="27">
        <f t="shared" si="17"/>
        <v>69090909.090909183</v>
      </c>
      <c r="AL41" s="114">
        <f>IF(torlesztes="Egyedi",-SUMIFS(U$7:U$126,T$7:T$126,"&gt;"&amp;AJ40,T$7:T$126,"&lt;="&amp;AJ41),IFERROR(IF(torlesztes="Egyenlő tőke",IF(COUNT($AK$7:AK41)&gt;$D$15,"",-$AK$5/$D$15),0),""))</f>
        <v>-909090.90909090906</v>
      </c>
      <c r="AM41" s="27">
        <f t="shared" ca="1" si="30"/>
        <v>-683432.12951432215</v>
      </c>
      <c r="AN41" s="27">
        <f t="shared" si="19"/>
        <v>69090909.090909183</v>
      </c>
      <c r="AO41" s="27">
        <f>IF(torlesztes="Egyedi",-SUMIFS(U$7:U$126,T$7:T$126,"&gt;"&amp;AJ40,T$7:T$126,"&lt;="&amp;AJ41),IFERROR(IF(torlesztes="Egyenlő tőke",IF(COUNT($AN$7:AN41)&gt;$D$15,"",-$AK$5/$D$15),0),""))</f>
        <v>-909090.90909090906</v>
      </c>
      <c r="AP41" s="27">
        <f t="shared" si="31"/>
        <v>-82341.22042341232</v>
      </c>
      <c r="AR41" s="27">
        <f t="shared" ca="1" si="21"/>
        <v>601090.90909090987</v>
      </c>
      <c r="AS41" s="27">
        <f t="shared" ca="1" si="32"/>
        <v>527009.31021206209</v>
      </c>
      <c r="AT41" s="34">
        <f t="shared" si="9"/>
        <v>29</v>
      </c>
    </row>
    <row r="42" spans="1:46" x14ac:dyDescent="0.25">
      <c r="B42" s="161" t="s">
        <v>299</v>
      </c>
      <c r="C42" s="144"/>
      <c r="D42" s="38"/>
      <c r="E42" s="37"/>
      <c r="H42" s="10"/>
      <c r="I42" s="10"/>
      <c r="J42" s="33" t="b">
        <f t="shared" si="10"/>
        <v>0</v>
      </c>
      <c r="K42" s="33"/>
      <c r="L42" s="87"/>
      <c r="M42" s="86"/>
      <c r="N42" s="20" t="str">
        <f t="shared" si="23"/>
        <v/>
      </c>
      <c r="O42" s="9">
        <f t="shared" si="24"/>
        <v>0</v>
      </c>
      <c r="P42" s="9">
        <f t="shared" si="26"/>
        <v>0</v>
      </c>
      <c r="Q42" s="9">
        <f t="shared" si="27"/>
        <v>0</v>
      </c>
      <c r="R42" s="24" t="str">
        <f t="shared" si="28"/>
        <v/>
      </c>
      <c r="S42" s="36"/>
      <c r="T42" s="88"/>
      <c r="U42" s="86"/>
      <c r="V42" s="20" t="str">
        <f t="shared" si="11"/>
        <v/>
      </c>
      <c r="W42" s="9" t="str">
        <f t="shared" si="12"/>
        <v/>
      </c>
      <c r="X42" s="9" t="str">
        <f t="shared" ca="1" si="3"/>
        <v/>
      </c>
      <c r="Y42" s="9" t="str">
        <f t="shared" si="4"/>
        <v/>
      </c>
      <c r="Z42" s="9" t="str">
        <f t="shared" si="5"/>
        <v/>
      </c>
      <c r="AA42" s="74">
        <f t="shared" si="13"/>
        <v>45366</v>
      </c>
      <c r="AB42" s="35">
        <f t="shared" si="14"/>
        <v>0</v>
      </c>
      <c r="AC42" s="35">
        <f t="shared" si="15"/>
        <v>68181818.181818277</v>
      </c>
      <c r="AD42" s="15">
        <f t="shared" ca="1" si="6"/>
        <v>-720952.67745952785</v>
      </c>
      <c r="AE42" s="15">
        <f t="shared" si="7"/>
        <v>-86861.768368617806</v>
      </c>
      <c r="AF42" s="34">
        <f t="shared" si="8"/>
        <v>31</v>
      </c>
      <c r="AH42" s="34">
        <v>36</v>
      </c>
      <c r="AI42" s="25">
        <f t="shared" si="25"/>
        <v>36</v>
      </c>
      <c r="AJ42" s="26">
        <f t="shared" si="29"/>
        <v>45397</v>
      </c>
      <c r="AK42" s="27">
        <f t="shared" si="17"/>
        <v>68181818.181818277</v>
      </c>
      <c r="AL42" s="114">
        <f>IF(torlesztes="Egyedi",-SUMIFS(U$7:U$126,T$7:T$126,"&gt;"&amp;AJ41,T$7:T$126,"&lt;="&amp;AJ42),IFERROR(IF(torlesztes="Egyenlő tőke",IF(COUNT($AK$7:AK42)&gt;$D$15,"",-$AK$5/$D$15),0),""))</f>
        <v>-909090.90909090906</v>
      </c>
      <c r="AM42" s="27">
        <f t="shared" ca="1" si="30"/>
        <v>-720952.67745952785</v>
      </c>
      <c r="AN42" s="27">
        <f t="shared" si="19"/>
        <v>68181818.181818277</v>
      </c>
      <c r="AO42" s="27">
        <f>IF(torlesztes="Egyedi",-SUMIFS(U$7:U$126,T$7:T$126,"&gt;"&amp;AJ41,T$7:T$126,"&lt;="&amp;AJ42),IFERROR(IF(torlesztes="Egyenlő tőke",IF(COUNT($AN$7:AN42)&gt;$D$15,"",-$AK$5/$D$15),0),""))</f>
        <v>-909090.90909090906</v>
      </c>
      <c r="AP42" s="27">
        <f t="shared" si="31"/>
        <v>-86861.768368617806</v>
      </c>
      <c r="AR42" s="27">
        <f t="shared" ca="1" si="21"/>
        <v>634090.90909091011</v>
      </c>
      <c r="AS42" s="27">
        <f t="shared" ca="1" si="32"/>
        <v>554348.46515136701</v>
      </c>
      <c r="AT42" s="34">
        <f t="shared" si="9"/>
        <v>31</v>
      </c>
    </row>
    <row r="43" spans="1:46" x14ac:dyDescent="0.25">
      <c r="D43" s="61"/>
      <c r="E43" s="37"/>
      <c r="J43" s="33" t="b">
        <f t="shared" si="10"/>
        <v>0</v>
      </c>
      <c r="K43" s="33"/>
      <c r="L43" s="87"/>
      <c r="M43" s="86"/>
      <c r="N43" s="20" t="str">
        <f t="shared" si="23"/>
        <v/>
      </c>
      <c r="O43" s="9">
        <f t="shared" si="24"/>
        <v>0</v>
      </c>
      <c r="P43" s="9">
        <f t="shared" si="26"/>
        <v>0</v>
      </c>
      <c r="Q43" s="9">
        <f t="shared" si="27"/>
        <v>0</v>
      </c>
      <c r="R43" s="24" t="str">
        <f t="shared" si="28"/>
        <v/>
      </c>
      <c r="S43" s="36"/>
      <c r="T43" s="88"/>
      <c r="U43" s="86"/>
      <c r="V43" s="20" t="str">
        <f t="shared" si="11"/>
        <v/>
      </c>
      <c r="W43" s="9" t="str">
        <f t="shared" si="12"/>
        <v/>
      </c>
      <c r="X43" s="9" t="str">
        <f t="shared" ca="1" si="3"/>
        <v/>
      </c>
      <c r="Y43" s="9" t="str">
        <f t="shared" si="4"/>
        <v/>
      </c>
      <c r="Z43" s="9" t="str">
        <f t="shared" si="5"/>
        <v/>
      </c>
      <c r="AA43" s="74">
        <f t="shared" si="13"/>
        <v>45397</v>
      </c>
      <c r="AB43" s="35">
        <f t="shared" si="14"/>
        <v>0</v>
      </c>
      <c r="AC43" s="35">
        <f t="shared" si="15"/>
        <v>67272727.27272737</v>
      </c>
      <c r="AD43" s="15">
        <f t="shared" ca="1" si="6"/>
        <v>-688393.52428393625</v>
      </c>
      <c r="AE43" s="15">
        <f t="shared" si="7"/>
        <v>-82938.978829389918</v>
      </c>
      <c r="AF43" s="34">
        <f t="shared" si="8"/>
        <v>30</v>
      </c>
      <c r="AH43" s="34">
        <v>37</v>
      </c>
      <c r="AI43" s="25">
        <f t="shared" si="25"/>
        <v>37</v>
      </c>
      <c r="AJ43" s="26">
        <f t="shared" si="29"/>
        <v>45427</v>
      </c>
      <c r="AK43" s="27">
        <f t="shared" si="17"/>
        <v>67272727.27272737</v>
      </c>
      <c r="AL43" s="114">
        <f>IF(torlesztes="Egyedi",-SUMIFS(U$7:U$126,T$7:T$126,"&gt;"&amp;AJ42,T$7:T$126,"&lt;="&amp;AJ43),IFERROR(IF(torlesztes="Egyenlő tőke",IF(COUNT($AK$7:AK43)&gt;$D$15,"",-$AK$5/$D$15),0),""))</f>
        <v>-909090.90909090906</v>
      </c>
      <c r="AM43" s="27">
        <f t="shared" ca="1" si="30"/>
        <v>-688393.52428393625</v>
      </c>
      <c r="AN43" s="27">
        <f t="shared" si="19"/>
        <v>67272727.27272737</v>
      </c>
      <c r="AO43" s="27">
        <f>IF(torlesztes="Egyedi",-SUMIFS(U$7:U$126,T$7:T$126,"&gt;"&amp;AJ42,T$7:T$126,"&lt;="&amp;AJ43),IFERROR(IF(torlesztes="Egyenlő tőke",IF(COUNT($AN$7:AN43)&gt;$D$15,"",-$AK$5/$D$15),0),""))</f>
        <v>-909090.90909090906</v>
      </c>
      <c r="AP43" s="27">
        <f t="shared" si="31"/>
        <v>-82938.978829389918</v>
      </c>
      <c r="AR43" s="27">
        <f t="shared" ca="1" si="21"/>
        <v>605454.54545454634</v>
      </c>
      <c r="AS43" s="27">
        <f t="shared" ca="1" si="32"/>
        <v>527795.95979238604</v>
      </c>
      <c r="AT43" s="34">
        <f t="shared" ref="AT43:AT46" si="33">IFERROR(AJ43-AJ42,"")</f>
        <v>30</v>
      </c>
    </row>
    <row r="44" spans="1:46" x14ac:dyDescent="0.25">
      <c r="B44" s="105" t="s">
        <v>339</v>
      </c>
      <c r="C44" s="42"/>
      <c r="D44" s="62"/>
      <c r="E44" s="37"/>
      <c r="J44" s="33" t="b">
        <f t="shared" si="10"/>
        <v>0</v>
      </c>
      <c r="K44" s="33"/>
      <c r="L44" s="87"/>
      <c r="M44" s="86"/>
      <c r="N44" s="20" t="str">
        <f t="shared" si="23"/>
        <v/>
      </c>
      <c r="O44" s="9">
        <f t="shared" si="24"/>
        <v>0</v>
      </c>
      <c r="P44" s="9">
        <f t="shared" si="26"/>
        <v>0</v>
      </c>
      <c r="Q44" s="9">
        <f t="shared" si="27"/>
        <v>0</v>
      </c>
      <c r="R44" s="24" t="str">
        <f t="shared" si="28"/>
        <v/>
      </c>
      <c r="S44" s="36"/>
      <c r="T44" s="88"/>
      <c r="U44" s="86"/>
      <c r="V44" s="20" t="str">
        <f t="shared" si="11"/>
        <v/>
      </c>
      <c r="W44" s="9" t="str">
        <f t="shared" si="12"/>
        <v/>
      </c>
      <c r="X44" s="9" t="str">
        <f t="shared" ca="1" si="3"/>
        <v/>
      </c>
      <c r="Y44" s="9" t="str">
        <f t="shared" si="4"/>
        <v/>
      </c>
      <c r="Z44" s="9" t="str">
        <f t="shared" si="5"/>
        <v/>
      </c>
      <c r="AA44" s="74">
        <f t="shared" si="13"/>
        <v>45427</v>
      </c>
      <c r="AB44" s="35">
        <f t="shared" si="14"/>
        <v>0</v>
      </c>
      <c r="AC44" s="35">
        <f t="shared" si="15"/>
        <v>66363636.363636464</v>
      </c>
      <c r="AD44" s="15">
        <f t="shared" ca="1" si="6"/>
        <v>-701727.27272727375</v>
      </c>
      <c r="AE44" s="15">
        <f t="shared" si="7"/>
        <v>-84545.454545454661</v>
      </c>
      <c r="AF44" s="34">
        <f t="shared" si="8"/>
        <v>31</v>
      </c>
      <c r="AH44" s="34">
        <v>38</v>
      </c>
      <c r="AI44" s="25">
        <f t="shared" si="25"/>
        <v>38</v>
      </c>
      <c r="AJ44" s="26">
        <f t="shared" si="29"/>
        <v>45458</v>
      </c>
      <c r="AK44" s="27">
        <f t="shared" si="17"/>
        <v>66363636.363636464</v>
      </c>
      <c r="AL44" s="114">
        <f>IF(torlesztes="Egyedi",-SUMIFS(U$7:U$126,T$7:T$126,"&gt;"&amp;AJ43,T$7:T$126,"&lt;="&amp;AJ44),IFERROR(IF(torlesztes="Egyenlő tőke",IF(COUNT($AK$7:AK44)&gt;$D$15,"",-$AK$5/$D$15),0),""))</f>
        <v>-909090.90909090906</v>
      </c>
      <c r="AM44" s="27">
        <f t="shared" ca="1" si="30"/>
        <v>-701727.27272727375</v>
      </c>
      <c r="AN44" s="27">
        <f t="shared" si="19"/>
        <v>66363636.363636464</v>
      </c>
      <c r="AO44" s="27">
        <f>IF(torlesztes="Egyedi",-SUMIFS(U$7:U$126,T$7:T$126,"&gt;"&amp;AJ43,T$7:T$126,"&lt;="&amp;AJ44),IFERROR(IF(torlesztes="Egyenlő tőke",IF(COUNT($AN$7:AN44)&gt;$D$15,"",-$AK$5/$D$15),0),""))</f>
        <v>-909090.90909090906</v>
      </c>
      <c r="AP44" s="27">
        <f t="shared" si="31"/>
        <v>-84545.454545454661</v>
      </c>
      <c r="AR44" s="27">
        <f t="shared" ca="1" si="21"/>
        <v>617181.81818181905</v>
      </c>
      <c r="AS44" s="27">
        <f t="shared" ca="1" si="32"/>
        <v>536476.66427946207</v>
      </c>
      <c r="AT44" s="34">
        <f t="shared" si="33"/>
        <v>31</v>
      </c>
    </row>
    <row r="45" spans="1:46" x14ac:dyDescent="0.25">
      <c r="B45" s="106" t="s">
        <v>297</v>
      </c>
      <c r="C45" s="143"/>
      <c r="D45" s="61"/>
      <c r="E45" s="37"/>
      <c r="J45" s="33" t="b">
        <f t="shared" si="10"/>
        <v>0</v>
      </c>
      <c r="K45" s="33"/>
      <c r="L45" s="87"/>
      <c r="M45" s="86"/>
      <c r="N45" s="20" t="str">
        <f t="shared" si="23"/>
        <v/>
      </c>
      <c r="O45" s="9">
        <f t="shared" ref="O45:O46" si="34">IF(ISBLANK(L44),0,M44+O44)</f>
        <v>0</v>
      </c>
      <c r="P45" s="9">
        <f t="shared" si="26"/>
        <v>0</v>
      </c>
      <c r="Q45" s="9">
        <f t="shared" si="27"/>
        <v>0</v>
      </c>
      <c r="R45" s="24" t="str">
        <f t="shared" si="28"/>
        <v/>
      </c>
      <c r="S45" s="36"/>
      <c r="T45" s="88"/>
      <c r="U45" s="86"/>
      <c r="V45" s="20" t="str">
        <f t="shared" si="11"/>
        <v/>
      </c>
      <c r="W45" s="9" t="str">
        <f t="shared" si="12"/>
        <v/>
      </c>
      <c r="X45" s="9" t="str">
        <f t="shared" ca="1" si="3"/>
        <v/>
      </c>
      <c r="Y45" s="9" t="str">
        <f t="shared" si="4"/>
        <v/>
      </c>
      <c r="Z45" s="9" t="str">
        <f t="shared" si="5"/>
        <v/>
      </c>
      <c r="AA45" s="74">
        <f t="shared" si="13"/>
        <v>45458</v>
      </c>
      <c r="AB45" s="35">
        <f t="shared" si="14"/>
        <v>0</v>
      </c>
      <c r="AC45" s="35">
        <f t="shared" si="15"/>
        <v>65454545.454545557</v>
      </c>
      <c r="AD45" s="15">
        <f t="shared" ca="1" si="6"/>
        <v>-669788.29389788408</v>
      </c>
      <c r="AE45" s="15">
        <f t="shared" si="7"/>
        <v>-80697.384806973962</v>
      </c>
      <c r="AF45" s="34">
        <f t="shared" si="8"/>
        <v>30</v>
      </c>
      <c r="AH45" s="34">
        <v>39</v>
      </c>
      <c r="AI45" s="25">
        <f t="shared" si="25"/>
        <v>39</v>
      </c>
      <c r="AJ45" s="26">
        <f t="shared" si="29"/>
        <v>45488</v>
      </c>
      <c r="AK45" s="27">
        <f t="shared" si="17"/>
        <v>65454545.454545557</v>
      </c>
      <c r="AL45" s="114">
        <f>IF(torlesztes="Egyedi",-SUMIFS(U$7:U$126,T$7:T$126,"&gt;"&amp;AJ44,T$7:T$126,"&lt;="&amp;AJ45),IFERROR(IF(torlesztes="Egyenlő tőke",IF(COUNT($AK$7:AK45)&gt;$D$15,"",-$AK$5/$D$15),0),""))</f>
        <v>-909090.90909090906</v>
      </c>
      <c r="AM45" s="27">
        <f t="shared" ca="1" si="30"/>
        <v>-669788.29389788408</v>
      </c>
      <c r="AN45" s="27">
        <f t="shared" si="19"/>
        <v>65454545.454545557</v>
      </c>
      <c r="AO45" s="27">
        <f>IF(torlesztes="Egyedi",-SUMIFS(U$7:U$126,T$7:T$126,"&gt;"&amp;AJ44,T$7:T$126,"&lt;="&amp;AJ45),IFERROR(IF(torlesztes="Egyenlő tőke",IF(COUNT($AN$7:AN45)&gt;$D$15,"",-$AK$5/$D$15),0),""))</f>
        <v>-909090.90909090906</v>
      </c>
      <c r="AP45" s="27">
        <f t="shared" si="31"/>
        <v>-80697.384806973962</v>
      </c>
      <c r="AR45" s="27">
        <f t="shared" ca="1" si="21"/>
        <v>589090.90909091011</v>
      </c>
      <c r="AS45" s="27">
        <f t="shared" ca="1" si="32"/>
        <v>510591.08502896799</v>
      </c>
      <c r="AT45" s="34">
        <f t="shared" si="33"/>
        <v>30</v>
      </c>
    </row>
    <row r="46" spans="1:46" x14ac:dyDescent="0.25">
      <c r="B46" s="106" t="s">
        <v>298</v>
      </c>
      <c r="C46" s="143"/>
      <c r="E46" s="37"/>
      <c r="J46" s="33" t="b">
        <f t="shared" si="10"/>
        <v>0</v>
      </c>
      <c r="K46" s="33"/>
      <c r="L46" s="87"/>
      <c r="M46" s="86"/>
      <c r="N46" s="20" t="str">
        <f t="shared" si="23"/>
        <v/>
      </c>
      <c r="O46" s="9">
        <f t="shared" si="34"/>
        <v>0</v>
      </c>
      <c r="P46" s="9">
        <f t="shared" si="26"/>
        <v>0</v>
      </c>
      <c r="Q46" s="9">
        <f t="shared" si="27"/>
        <v>0</v>
      </c>
      <c r="R46" s="24" t="str">
        <f t="shared" si="28"/>
        <v/>
      </c>
      <c r="S46" s="36"/>
      <c r="T46" s="88"/>
      <c r="U46" s="86"/>
      <c r="V46" s="20" t="str">
        <f t="shared" si="11"/>
        <v/>
      </c>
      <c r="W46" s="9" t="str">
        <f t="shared" si="12"/>
        <v/>
      </c>
      <c r="X46" s="9" t="str">
        <f t="shared" ca="1" si="3"/>
        <v/>
      </c>
      <c r="Y46" s="9" t="str">
        <f t="shared" si="4"/>
        <v/>
      </c>
      <c r="Z46" s="9" t="str">
        <f t="shared" si="5"/>
        <v/>
      </c>
      <c r="AA46" s="74">
        <f t="shared" si="13"/>
        <v>45488</v>
      </c>
      <c r="AB46" s="35">
        <f t="shared" si="14"/>
        <v>0</v>
      </c>
      <c r="AC46" s="35">
        <f t="shared" si="15"/>
        <v>64545454.545454651</v>
      </c>
      <c r="AD46" s="15">
        <f t="shared" ca="1" si="6"/>
        <v>-682501.86799501977</v>
      </c>
      <c r="AE46" s="15">
        <f t="shared" si="7"/>
        <v>-82229.140722291544</v>
      </c>
      <c r="AF46" s="34">
        <f t="shared" si="8"/>
        <v>31</v>
      </c>
      <c r="AH46" s="34">
        <v>40</v>
      </c>
      <c r="AI46" s="25">
        <f t="shared" si="25"/>
        <v>40</v>
      </c>
      <c r="AJ46" s="26">
        <f t="shared" si="29"/>
        <v>45519</v>
      </c>
      <c r="AK46" s="27">
        <f t="shared" si="17"/>
        <v>64545454.545454651</v>
      </c>
      <c r="AL46" s="114">
        <f>IF(torlesztes="Egyedi",-SUMIFS(U$7:U$126,T$7:T$126,"&gt;"&amp;AJ45,T$7:T$126,"&lt;="&amp;AJ46),IFERROR(IF(torlesztes="Egyenlő tőke",IF(COUNT($AK$7:AK46)&gt;$D$15,"",-$AK$5/$D$15),0),""))</f>
        <v>-909090.90909090906</v>
      </c>
      <c r="AM46" s="27">
        <f t="shared" ca="1" si="30"/>
        <v>-682501.86799501977</v>
      </c>
      <c r="AN46" s="27">
        <f t="shared" si="19"/>
        <v>64545454.545454651</v>
      </c>
      <c r="AO46" s="27">
        <f>IF(torlesztes="Egyedi",-SUMIFS(U$7:U$126,T$7:T$126,"&gt;"&amp;AJ45,T$7:T$126,"&lt;="&amp;AJ46),IFERROR(IF(torlesztes="Egyenlő tőke",IF(COUNT($AN$7:AN46)&gt;$D$15,"",-$AK$5/$D$15),0),""))</f>
        <v>-909090.90909090906</v>
      </c>
      <c r="AP46" s="27">
        <f t="shared" si="31"/>
        <v>-82229.140722291544</v>
      </c>
      <c r="AR46" s="27">
        <f t="shared" ca="1" si="21"/>
        <v>600272.72727272823</v>
      </c>
      <c r="AS46" s="27">
        <f t="shared" ca="1" si="32"/>
        <v>518791.33516545407</v>
      </c>
      <c r="AT46" s="34">
        <f t="shared" si="33"/>
        <v>31</v>
      </c>
    </row>
    <row r="47" spans="1:46" x14ac:dyDescent="0.25">
      <c r="B47" s="106" t="s">
        <v>299</v>
      </c>
      <c r="C47" s="143"/>
      <c r="J47" s="33" t="b">
        <f t="shared" si="10"/>
        <v>0</v>
      </c>
      <c r="L47" s="87"/>
      <c r="M47" s="86"/>
      <c r="N47" s="20" t="str">
        <f t="shared" si="23"/>
        <v/>
      </c>
      <c r="O47" s="9">
        <f t="shared" ref="O47:O110" si="35">IF(ISBLANK(L46),0,M46+O46)</f>
        <v>0</v>
      </c>
      <c r="P47" s="9">
        <f t="shared" si="26"/>
        <v>0</v>
      </c>
      <c r="Q47" s="9">
        <f t="shared" si="27"/>
        <v>0</v>
      </c>
      <c r="R47" s="24" t="str">
        <f t="shared" si="28"/>
        <v/>
      </c>
      <c r="S47" s="36"/>
      <c r="T47" s="88"/>
      <c r="U47" s="86"/>
      <c r="V47" s="20" t="str">
        <f t="shared" si="11"/>
        <v/>
      </c>
      <c r="W47" s="9" t="str">
        <f t="shared" si="12"/>
        <v/>
      </c>
      <c r="X47" s="9" t="str">
        <f t="shared" ref="X47:X110" ca="1" si="36">IFERROR(-W47*piacikamat/365*(T47-V47),"")</f>
        <v/>
      </c>
      <c r="Y47" s="9" t="str">
        <f t="shared" ref="Y47:Y110" si="37">IFERROR(-W47*tenylegeskamat/365*(T47-V47),"")</f>
        <v/>
      </c>
      <c r="Z47" s="9" t="str">
        <f t="shared" si="5"/>
        <v/>
      </c>
      <c r="AA47" s="74">
        <f t="shared" si="13"/>
        <v>45519</v>
      </c>
      <c r="AB47" s="35">
        <f t="shared" si="14"/>
        <v>0</v>
      </c>
      <c r="AC47" s="35">
        <f t="shared" si="15"/>
        <v>63636363.636363745</v>
      </c>
      <c r="AD47" s="15">
        <f t="shared" ref="AD47:AD110" ca="1" si="38">IFERROR(-(AC47-AB47)*piacikamat/365*(AJ47-AA47),0)</f>
        <v>-672889.16562889284</v>
      </c>
      <c r="AE47" s="15">
        <f t="shared" ref="AE47:AE110" si="39">IFERROR(-(AC47-AB47)*tenylegeskamat/365*(AJ47-AA47),0)</f>
        <v>-81070.983810709979</v>
      </c>
      <c r="AF47" s="34">
        <f t="shared" ref="AF47:AF110" si="40">IFERROR(AJ47-AA47,"")</f>
        <v>31</v>
      </c>
      <c r="AH47" s="34">
        <v>41</v>
      </c>
      <c r="AI47" s="25">
        <f t="shared" ref="AI47:AI110" si="41">IF(COUNT(AJ47)=1,AI46+1,"")</f>
        <v>41</v>
      </c>
      <c r="AJ47" s="26">
        <f t="shared" si="29"/>
        <v>45550</v>
      </c>
      <c r="AK47" s="27">
        <f t="shared" ref="AK47:AK110" si="42">+IF(COUNT(AK46)&lt;&gt;0,SUM(AK46:AL46)*(1-J47),"")</f>
        <v>63636363.636363745</v>
      </c>
      <c r="AL47" s="114">
        <f>IF(torlesztes="Egyedi",-SUMIFS(U$7:U$126,T$7:T$126,"&gt;"&amp;AJ46,T$7:T$126,"&lt;="&amp;AJ47),IFERROR(IF(torlesztes="Egyenlő tőke",IF(COUNT($AK$7:AK47)&gt;$D$15,"",-$AK$5/$D$15),0),""))</f>
        <v>-909090.90909090906</v>
      </c>
      <c r="AM47" s="27">
        <f t="shared" ca="1" si="30"/>
        <v>-672889.16562889284</v>
      </c>
      <c r="AN47" s="27">
        <f t="shared" si="19"/>
        <v>63636363.636363745</v>
      </c>
      <c r="AO47" s="27">
        <f>IF(torlesztes="Egyedi",-SUMIFS(U$7:U$126,T$7:T$126,"&gt;"&amp;AJ46,T$7:T$126,"&lt;="&amp;AJ47),IFERROR(IF(torlesztes="Egyenlő tőke",IF(COUNT($AN$7:AN47)&gt;$D$15,"",-$AK$5/$D$15),0),""))</f>
        <v>-909090.90909090906</v>
      </c>
      <c r="AP47" s="27">
        <f t="shared" si="31"/>
        <v>-81070.983810709979</v>
      </c>
      <c r="AR47" s="27">
        <f t="shared" ref="AR47:AR110" ca="1" si="43">IFERROR(MAX((ABS(AM47)-ABS(AP47)),0),"")</f>
        <v>591818.18181818281</v>
      </c>
      <c r="AS47" s="27">
        <f t="shared" ca="1" si="32"/>
        <v>510018.11287733389</v>
      </c>
      <c r="AT47" s="34">
        <f t="shared" ref="AT47:AT110" si="44">IFERROR(AJ47-AJ46,"")</f>
        <v>31</v>
      </c>
    </row>
    <row r="48" spans="1:46" x14ac:dyDescent="0.25">
      <c r="A48"/>
      <c r="B48" s="106" t="str">
        <f>IF(C48&gt;200000,"A megadott érték nem haladhatja meg a 200 000 eurót","Az igényelt hitelhez megítélt ugyanazon elszámolható költségekhez kapcsolódó de minimis támogatások összege (EUR)")</f>
        <v>Az igényelt hitelhez megítélt ugyanazon elszámolható költségekhez kapcsolódó de minimis támogatások összege (EUR)</v>
      </c>
      <c r="C48" s="143"/>
      <c r="E48"/>
      <c r="H48"/>
      <c r="I48"/>
      <c r="J48" s="33" t="b">
        <f t="shared" si="10"/>
        <v>0</v>
      </c>
      <c r="K48"/>
      <c r="L48" s="87"/>
      <c r="M48" s="86"/>
      <c r="N48" s="20" t="str">
        <f t="shared" si="23"/>
        <v/>
      </c>
      <c r="O48" s="9">
        <f t="shared" si="35"/>
        <v>0</v>
      </c>
      <c r="P48" s="9">
        <f t="shared" si="26"/>
        <v>0</v>
      </c>
      <c r="Q48" s="9">
        <f t="shared" si="27"/>
        <v>0</v>
      </c>
      <c r="R48" s="24" t="str">
        <f t="shared" si="28"/>
        <v/>
      </c>
      <c r="S48"/>
      <c r="T48" s="88"/>
      <c r="U48" s="86"/>
      <c r="V48" s="20" t="str">
        <f t="shared" si="11"/>
        <v/>
      </c>
      <c r="W48" s="9" t="str">
        <f t="shared" si="12"/>
        <v/>
      </c>
      <c r="X48" s="9" t="str">
        <f t="shared" ca="1" si="36"/>
        <v/>
      </c>
      <c r="Y48" s="9" t="str">
        <f t="shared" si="37"/>
        <v/>
      </c>
      <c r="Z48" s="9" t="str">
        <f t="shared" si="5"/>
        <v/>
      </c>
      <c r="AA48" s="74">
        <f t="shared" si="13"/>
        <v>45550</v>
      </c>
      <c r="AB48" s="35">
        <f t="shared" si="14"/>
        <v>0</v>
      </c>
      <c r="AC48" s="35">
        <f t="shared" si="15"/>
        <v>62727272.727272838</v>
      </c>
      <c r="AD48" s="15">
        <f t="shared" ca="1" si="38"/>
        <v>-641880.44831880566</v>
      </c>
      <c r="AE48" s="15">
        <f t="shared" si="39"/>
        <v>-77334.99377335007</v>
      </c>
      <c r="AF48" s="34">
        <f t="shared" si="40"/>
        <v>30</v>
      </c>
      <c r="AH48" s="34">
        <v>42</v>
      </c>
      <c r="AI48" s="25">
        <f t="shared" si="41"/>
        <v>42</v>
      </c>
      <c r="AJ48" s="26">
        <f t="shared" si="29"/>
        <v>45580</v>
      </c>
      <c r="AK48" s="27">
        <f t="shared" si="42"/>
        <v>62727272.727272838</v>
      </c>
      <c r="AL48" s="114">
        <f>IF(torlesztes="Egyedi",-SUMIFS(U$7:U$126,T$7:T$126,"&gt;"&amp;AJ47,T$7:T$126,"&lt;="&amp;AJ48),IFERROR(IF(torlesztes="Egyenlő tőke",IF(COUNT($AK$7:AK48)&gt;$D$15,"",-$AK$5/$D$15),0),""))</f>
        <v>-909090.90909090906</v>
      </c>
      <c r="AM48" s="27">
        <f t="shared" ca="1" si="30"/>
        <v>-641880.44831880566</v>
      </c>
      <c r="AN48" s="27">
        <f t="shared" si="19"/>
        <v>62727272.727272838</v>
      </c>
      <c r="AO48" s="27">
        <f>IF(torlesztes="Egyedi",-SUMIFS(U$7:U$126,T$7:T$126,"&gt;"&amp;AJ47,T$7:T$126,"&lt;="&amp;AJ48),IFERROR(IF(torlesztes="Egyenlő tőke",IF(COUNT($AN$7:AN48)&gt;$D$15,"",-$AK$5/$D$15),0),""))</f>
        <v>-909090.90909090906</v>
      </c>
      <c r="AP48" s="27">
        <f t="shared" si="31"/>
        <v>-77334.99377335007</v>
      </c>
      <c r="AR48" s="27">
        <f t="shared" ca="1" si="43"/>
        <v>564545.45454545564</v>
      </c>
      <c r="AS48" s="27">
        <f t="shared" ca="1" si="32"/>
        <v>485120.25330680347</v>
      </c>
      <c r="AT48" s="34">
        <f t="shared" si="44"/>
        <v>30</v>
      </c>
    </row>
    <row r="49" spans="1:46" x14ac:dyDescent="0.25">
      <c r="A49"/>
      <c r="B49" s="106" t="str">
        <f>IF(C49&gt;15000,"A megadott érték nem haladhatja meg a 15 000 eurót","Az igényelt hitelhez megítélt ugyanazon elszámolható költségekhez kapcsolódó agrár de minimis támogatások összege (EUR)")</f>
        <v>Az igényelt hitelhez megítélt ugyanazon elszámolható költségekhez kapcsolódó agrár de minimis támogatások összege (EUR)</v>
      </c>
      <c r="C49" s="143"/>
      <c r="E49"/>
      <c r="H49"/>
      <c r="I49"/>
      <c r="J49" s="33" t="b">
        <f t="shared" si="10"/>
        <v>0</v>
      </c>
      <c r="K49"/>
      <c r="L49" s="87"/>
      <c r="M49" s="86"/>
      <c r="N49" s="20" t="str">
        <f t="shared" si="23"/>
        <v/>
      </c>
      <c r="O49" s="9">
        <f t="shared" si="35"/>
        <v>0</v>
      </c>
      <c r="P49" s="9">
        <f t="shared" si="26"/>
        <v>0</v>
      </c>
      <c r="Q49" s="9">
        <f t="shared" si="27"/>
        <v>0</v>
      </c>
      <c r="R49" s="24" t="str">
        <f t="shared" si="28"/>
        <v/>
      </c>
      <c r="S49"/>
      <c r="T49" s="88"/>
      <c r="U49" s="86"/>
      <c r="V49" s="20" t="str">
        <f t="shared" si="11"/>
        <v/>
      </c>
      <c r="W49" s="9" t="str">
        <f t="shared" si="12"/>
        <v/>
      </c>
      <c r="X49" s="9" t="str">
        <f t="shared" ca="1" si="36"/>
        <v/>
      </c>
      <c r="Y49" s="9" t="str">
        <f t="shared" si="37"/>
        <v/>
      </c>
      <c r="Z49" s="9" t="str">
        <f t="shared" si="5"/>
        <v/>
      </c>
      <c r="AA49" s="74">
        <f t="shared" si="13"/>
        <v>45580</v>
      </c>
      <c r="AB49" s="35">
        <f t="shared" si="14"/>
        <v>0</v>
      </c>
      <c r="AC49" s="35">
        <f t="shared" si="15"/>
        <v>61818181.818181932</v>
      </c>
      <c r="AD49" s="15">
        <f t="shared" ca="1" si="38"/>
        <v>-653663.76089663885</v>
      </c>
      <c r="AE49" s="15">
        <f t="shared" si="39"/>
        <v>-78754.669987546833</v>
      </c>
      <c r="AF49" s="34">
        <f t="shared" si="40"/>
        <v>31</v>
      </c>
      <c r="AH49" s="34">
        <v>43</v>
      </c>
      <c r="AI49" s="25">
        <f t="shared" si="41"/>
        <v>43</v>
      </c>
      <c r="AJ49" s="26">
        <f t="shared" si="29"/>
        <v>45611</v>
      </c>
      <c r="AK49" s="27">
        <f t="shared" si="42"/>
        <v>61818181.818181932</v>
      </c>
      <c r="AL49" s="114">
        <f>IF(torlesztes="Egyedi",-SUMIFS(U$7:U$126,T$7:T$126,"&gt;"&amp;AJ48,T$7:T$126,"&lt;="&amp;AJ49),IFERROR(IF(torlesztes="Egyenlő tőke",IF(COUNT($AK$7:AK49)&gt;$D$15,"",-$AK$5/$D$15),0),""))</f>
        <v>-909090.90909090906</v>
      </c>
      <c r="AM49" s="27">
        <f t="shared" ca="1" si="30"/>
        <v>-653663.76089663885</v>
      </c>
      <c r="AN49" s="27">
        <f t="shared" si="19"/>
        <v>61818181.818181932</v>
      </c>
      <c r="AO49" s="27">
        <f>IF(torlesztes="Egyedi",-SUMIFS(U$7:U$126,T$7:T$126,"&gt;"&amp;AJ48,T$7:T$126,"&lt;="&amp;AJ49),IFERROR(IF(torlesztes="Egyenlő tőke",IF(COUNT($AN$7:AN49)&gt;$D$15,"",-$AK$5/$D$15),0),""))</f>
        <v>-909090.90909090906</v>
      </c>
      <c r="AP49" s="27">
        <f t="shared" si="31"/>
        <v>-78754.669987546833</v>
      </c>
      <c r="AR49" s="27">
        <f t="shared" ca="1" si="43"/>
        <v>574909.09090909199</v>
      </c>
      <c r="AS49" s="27">
        <f t="shared" ca="1" si="32"/>
        <v>492609.58992690302</v>
      </c>
      <c r="AT49" s="34">
        <f t="shared" si="44"/>
        <v>31</v>
      </c>
    </row>
    <row r="50" spans="1:46" x14ac:dyDescent="0.25">
      <c r="A50"/>
      <c r="B50" s="122" t="str">
        <f>IF(C50&gt;30000,"A megadott érték nem haladhatja meg a 30 000 eurót","Az igényelt hitelhez megítélt ugyanazon elszámolható költségekhez kapcsolódó halászati de minimis támogatások összege (EUR)")</f>
        <v>Az igényelt hitelhez megítélt ugyanazon elszámolható költségekhez kapcsolódó halászati de minimis támogatások összege (EUR)</v>
      </c>
      <c r="C50" s="144"/>
      <c r="E50"/>
      <c r="H50"/>
      <c r="I50"/>
      <c r="J50" s="33" t="b">
        <f t="shared" si="10"/>
        <v>0</v>
      </c>
      <c r="K50"/>
      <c r="L50" s="87"/>
      <c r="M50" s="86"/>
      <c r="N50" s="20" t="str">
        <f t="shared" si="23"/>
        <v/>
      </c>
      <c r="O50" s="9">
        <f t="shared" si="35"/>
        <v>0</v>
      </c>
      <c r="P50" s="9">
        <f t="shared" si="26"/>
        <v>0</v>
      </c>
      <c r="Q50" s="9">
        <f t="shared" si="27"/>
        <v>0</v>
      </c>
      <c r="R50" s="24" t="str">
        <f t="shared" si="28"/>
        <v/>
      </c>
      <c r="S50"/>
      <c r="T50" s="88"/>
      <c r="U50" s="86"/>
      <c r="V50" s="20" t="str">
        <f t="shared" si="11"/>
        <v/>
      </c>
      <c r="W50" s="9" t="str">
        <f t="shared" si="12"/>
        <v/>
      </c>
      <c r="X50" s="9" t="str">
        <f t="shared" ca="1" si="36"/>
        <v/>
      </c>
      <c r="Y50" s="9" t="str">
        <f t="shared" si="37"/>
        <v/>
      </c>
      <c r="Z50" s="9" t="str">
        <f t="shared" si="5"/>
        <v/>
      </c>
      <c r="AA50" s="74">
        <f t="shared" si="13"/>
        <v>45611</v>
      </c>
      <c r="AB50" s="35">
        <f t="shared" si="14"/>
        <v>0</v>
      </c>
      <c r="AC50" s="35">
        <f t="shared" si="15"/>
        <v>60909090.909091026</v>
      </c>
      <c r="AD50" s="15">
        <f t="shared" ca="1" si="38"/>
        <v>-623275.21793275338</v>
      </c>
      <c r="AE50" s="15">
        <f t="shared" si="39"/>
        <v>-75093.399750934143</v>
      </c>
      <c r="AF50" s="34">
        <f t="shared" si="40"/>
        <v>30</v>
      </c>
      <c r="AH50" s="34">
        <v>44</v>
      </c>
      <c r="AI50" s="25">
        <f t="shared" si="41"/>
        <v>44</v>
      </c>
      <c r="AJ50" s="26">
        <f t="shared" si="29"/>
        <v>45641</v>
      </c>
      <c r="AK50" s="27">
        <f t="shared" si="42"/>
        <v>60909090.909091026</v>
      </c>
      <c r="AL50" s="114">
        <f>IF(torlesztes="Egyedi",-SUMIFS(U$7:U$126,T$7:T$126,"&gt;"&amp;AJ49,T$7:T$126,"&lt;="&amp;AJ50),IFERROR(IF(torlesztes="Egyenlő tőke",IF(COUNT($AK$7:AK50)&gt;$D$15,"",-$AK$5/$D$15),0),""))</f>
        <v>-909090.90909090906</v>
      </c>
      <c r="AM50" s="27">
        <f t="shared" ca="1" si="30"/>
        <v>-623275.21793275338</v>
      </c>
      <c r="AN50" s="27">
        <f t="shared" si="19"/>
        <v>60909090.909091026</v>
      </c>
      <c r="AO50" s="27">
        <f>IF(torlesztes="Egyedi",-SUMIFS(U$7:U$126,T$7:T$126,"&gt;"&amp;AJ49,T$7:T$126,"&lt;="&amp;AJ50),IFERROR(IF(torlesztes="Egyenlő tőke",IF(COUNT($AN$7:AN50)&gt;$D$15,"",-$AK$5/$D$15),0),""))</f>
        <v>-909090.90909090906</v>
      </c>
      <c r="AP50" s="27">
        <f t="shared" si="31"/>
        <v>-75093.399750934143</v>
      </c>
      <c r="AR50" s="27">
        <f t="shared" ca="1" si="43"/>
        <v>548181.81818181928</v>
      </c>
      <c r="AS50" s="27">
        <f t="shared" ca="1" si="32"/>
        <v>468361.84477836615</v>
      </c>
      <c r="AT50" s="34">
        <f t="shared" si="44"/>
        <v>30</v>
      </c>
    </row>
    <row r="51" spans="1:46" x14ac:dyDescent="0.25">
      <c r="A51"/>
      <c r="E51"/>
      <c r="H51"/>
      <c r="I51"/>
      <c r="J51" s="33" t="b">
        <f t="shared" si="10"/>
        <v>0</v>
      </c>
      <c r="K51"/>
      <c r="L51" s="87"/>
      <c r="M51" s="86"/>
      <c r="N51" s="20" t="str">
        <f t="shared" si="23"/>
        <v/>
      </c>
      <c r="O51" s="9">
        <f t="shared" si="35"/>
        <v>0</v>
      </c>
      <c r="P51" s="9">
        <f t="shared" si="26"/>
        <v>0</v>
      </c>
      <c r="Q51" s="9">
        <f t="shared" si="27"/>
        <v>0</v>
      </c>
      <c r="R51" s="24" t="str">
        <f t="shared" si="28"/>
        <v/>
      </c>
      <c r="S51"/>
      <c r="T51" s="88"/>
      <c r="U51" s="86"/>
      <c r="V51" s="20" t="str">
        <f t="shared" si="11"/>
        <v/>
      </c>
      <c r="W51" s="9" t="str">
        <f t="shared" si="12"/>
        <v/>
      </c>
      <c r="X51" s="9" t="str">
        <f t="shared" ca="1" si="36"/>
        <v/>
      </c>
      <c r="Y51" s="9" t="str">
        <f t="shared" si="37"/>
        <v/>
      </c>
      <c r="Z51" s="9" t="str">
        <f t="shared" si="5"/>
        <v/>
      </c>
      <c r="AA51" s="74">
        <f t="shared" si="13"/>
        <v>45641</v>
      </c>
      <c r="AB51" s="35">
        <f t="shared" si="14"/>
        <v>0</v>
      </c>
      <c r="AC51" s="35">
        <f t="shared" si="15"/>
        <v>60000000.000000119</v>
      </c>
      <c r="AD51" s="15">
        <f t="shared" ca="1" si="38"/>
        <v>-634438.35616438475</v>
      </c>
      <c r="AE51" s="15">
        <f t="shared" si="39"/>
        <v>-76438.356164383717</v>
      </c>
      <c r="AF51" s="34">
        <f t="shared" si="40"/>
        <v>31</v>
      </c>
      <c r="AH51" s="34">
        <v>45</v>
      </c>
      <c r="AI51" s="25">
        <f t="shared" si="41"/>
        <v>45</v>
      </c>
      <c r="AJ51" s="26">
        <f t="shared" si="29"/>
        <v>45672</v>
      </c>
      <c r="AK51" s="27">
        <f t="shared" si="42"/>
        <v>60000000.000000119</v>
      </c>
      <c r="AL51" s="114">
        <f>IF(torlesztes="Egyedi",-SUMIFS(U$7:U$126,T$7:T$126,"&gt;"&amp;AJ50,T$7:T$126,"&lt;="&amp;AJ51),IFERROR(IF(torlesztes="Egyenlő tőke",IF(COUNT($AK$7:AK51)&gt;$D$15,"",-$AK$5/$D$15),0),""))</f>
        <v>-909090.90909090906</v>
      </c>
      <c r="AM51" s="27">
        <f t="shared" ca="1" si="30"/>
        <v>-634438.35616438475</v>
      </c>
      <c r="AN51" s="27">
        <f t="shared" si="19"/>
        <v>60000000.000000119</v>
      </c>
      <c r="AO51" s="27">
        <f>IF(torlesztes="Egyedi",-SUMIFS(U$7:U$126,T$7:T$126,"&gt;"&amp;AJ50,T$7:T$126,"&lt;="&amp;AJ51),IFERROR(IF(torlesztes="Egyenlő tőke",IF(COUNT($AN$7:AN51)&gt;$D$15,"",-$AK$5/$D$15),0),""))</f>
        <v>-909090.90909090906</v>
      </c>
      <c r="AP51" s="27">
        <f t="shared" si="31"/>
        <v>-76438.356164383717</v>
      </c>
      <c r="AR51" s="27">
        <f t="shared" ca="1" si="43"/>
        <v>558000.00000000105</v>
      </c>
      <c r="AS51" s="27">
        <f t="shared" ca="1" si="32"/>
        <v>475383.68703238736</v>
      </c>
      <c r="AT51" s="34">
        <f t="shared" si="44"/>
        <v>31</v>
      </c>
    </row>
    <row r="52" spans="1:46" x14ac:dyDescent="0.25">
      <c r="A52"/>
      <c r="B52" s="105" t="s">
        <v>316</v>
      </c>
      <c r="C52" s="42"/>
      <c r="E52"/>
      <c r="H52"/>
      <c r="I52"/>
      <c r="J52" s="33" t="b">
        <f t="shared" si="10"/>
        <v>0</v>
      </c>
      <c r="K52"/>
      <c r="L52" s="87"/>
      <c r="M52" s="86"/>
      <c r="N52" s="20" t="str">
        <f t="shared" si="23"/>
        <v/>
      </c>
      <c r="O52" s="9">
        <f t="shared" si="35"/>
        <v>0</v>
      </c>
      <c r="P52" s="9">
        <f t="shared" si="26"/>
        <v>0</v>
      </c>
      <c r="Q52" s="9">
        <f t="shared" si="27"/>
        <v>0</v>
      </c>
      <c r="R52" s="24" t="str">
        <f t="shared" si="28"/>
        <v/>
      </c>
      <c r="S52"/>
      <c r="T52" s="88"/>
      <c r="U52" s="86"/>
      <c r="V52" s="20" t="str">
        <f t="shared" si="11"/>
        <v/>
      </c>
      <c r="W52" s="9" t="str">
        <f t="shared" si="12"/>
        <v/>
      </c>
      <c r="X52" s="9" t="str">
        <f t="shared" ca="1" si="36"/>
        <v/>
      </c>
      <c r="Y52" s="9" t="str">
        <f t="shared" si="37"/>
        <v/>
      </c>
      <c r="Z52" s="9" t="str">
        <f t="shared" si="5"/>
        <v/>
      </c>
      <c r="AA52" s="74">
        <f t="shared" si="13"/>
        <v>45672</v>
      </c>
      <c r="AB52" s="35">
        <f t="shared" si="14"/>
        <v>0</v>
      </c>
      <c r="AC52" s="35">
        <f t="shared" si="15"/>
        <v>59090909.090909213</v>
      </c>
      <c r="AD52" s="15">
        <f t="shared" ca="1" si="38"/>
        <v>-624825.65379825782</v>
      </c>
      <c r="AE52" s="15">
        <f t="shared" si="39"/>
        <v>-75280.199252802151</v>
      </c>
      <c r="AF52" s="34">
        <f t="shared" si="40"/>
        <v>31</v>
      </c>
      <c r="AH52" s="34">
        <v>46</v>
      </c>
      <c r="AI52" s="25">
        <f t="shared" si="41"/>
        <v>46</v>
      </c>
      <c r="AJ52" s="26">
        <f t="shared" si="29"/>
        <v>45703</v>
      </c>
      <c r="AK52" s="27">
        <f t="shared" si="42"/>
        <v>59090909.090909213</v>
      </c>
      <c r="AL52" s="114">
        <f>IF(torlesztes="Egyedi",-SUMIFS(U$7:U$126,T$7:T$126,"&gt;"&amp;AJ51,T$7:T$126,"&lt;="&amp;AJ52),IFERROR(IF(torlesztes="Egyenlő tőke",IF(COUNT($AK$7:AK52)&gt;$D$15,"",-$AK$5/$D$15),0),""))</f>
        <v>-909090.90909090906</v>
      </c>
      <c r="AM52" s="27">
        <f t="shared" ca="1" si="30"/>
        <v>-624825.65379825782</v>
      </c>
      <c r="AN52" s="27">
        <f t="shared" si="19"/>
        <v>59090909.090909213</v>
      </c>
      <c r="AO52" s="27">
        <f>IF(torlesztes="Egyedi",-SUMIFS(U$7:U$126,T$7:T$126,"&gt;"&amp;AJ51,T$7:T$126,"&lt;="&amp;AJ52),IFERROR(IF(torlesztes="Egyenlő tőke",IF(COUNT($AN$7:AN52)&gt;$D$15,"",-$AK$5/$D$15),0),""))</f>
        <v>-909090.90909090906</v>
      </c>
      <c r="AP52" s="27">
        <f t="shared" si="31"/>
        <v>-75280.199252802151</v>
      </c>
      <c r="AR52" s="27">
        <f t="shared" ca="1" si="43"/>
        <v>549545.45454545564</v>
      </c>
      <c r="AS52" s="27">
        <f t="shared" ca="1" si="32"/>
        <v>466838.74251081439</v>
      </c>
      <c r="AT52" s="34">
        <f t="shared" si="44"/>
        <v>31</v>
      </c>
    </row>
    <row r="53" spans="1:46" x14ac:dyDescent="0.25">
      <c r="A53"/>
      <c r="B53" s="106" t="s">
        <v>334</v>
      </c>
      <c r="C53" s="126"/>
      <c r="E53"/>
      <c r="H53"/>
      <c r="I53"/>
      <c r="J53" s="33" t="b">
        <f t="shared" si="10"/>
        <v>0</v>
      </c>
      <c r="K53"/>
      <c r="L53" s="87"/>
      <c r="M53" s="86"/>
      <c r="N53" s="20" t="str">
        <f t="shared" si="23"/>
        <v/>
      </c>
      <c r="O53" s="9">
        <f t="shared" si="35"/>
        <v>0</v>
      </c>
      <c r="P53" s="9">
        <f t="shared" si="26"/>
        <v>0</v>
      </c>
      <c r="Q53" s="9">
        <f t="shared" si="27"/>
        <v>0</v>
      </c>
      <c r="R53" s="24" t="str">
        <f t="shared" si="28"/>
        <v/>
      </c>
      <c r="S53"/>
      <c r="T53" s="88"/>
      <c r="U53" s="86"/>
      <c r="V53" s="20" t="str">
        <f t="shared" si="11"/>
        <v/>
      </c>
      <c r="W53" s="9" t="str">
        <f t="shared" si="12"/>
        <v/>
      </c>
      <c r="X53" s="9" t="str">
        <f t="shared" ca="1" si="36"/>
        <v/>
      </c>
      <c r="Y53" s="9" t="str">
        <f t="shared" si="37"/>
        <v/>
      </c>
      <c r="Z53" s="9" t="str">
        <f t="shared" si="5"/>
        <v/>
      </c>
      <c r="AA53" s="74">
        <f t="shared" si="13"/>
        <v>45703</v>
      </c>
      <c r="AB53" s="35">
        <f t="shared" si="14"/>
        <v>0</v>
      </c>
      <c r="AC53" s="35">
        <f t="shared" si="15"/>
        <v>58181818.181818306</v>
      </c>
      <c r="AD53" s="15">
        <f t="shared" ca="1" si="38"/>
        <v>-555676.21419676335</v>
      </c>
      <c r="AE53" s="15">
        <f t="shared" si="39"/>
        <v>-66948.941469489553</v>
      </c>
      <c r="AF53" s="34">
        <f t="shared" si="40"/>
        <v>28</v>
      </c>
      <c r="AH53" s="34">
        <v>47</v>
      </c>
      <c r="AI53" s="25">
        <f t="shared" si="41"/>
        <v>47</v>
      </c>
      <c r="AJ53" s="26">
        <f t="shared" si="29"/>
        <v>45731</v>
      </c>
      <c r="AK53" s="27">
        <f t="shared" si="42"/>
        <v>58181818.181818306</v>
      </c>
      <c r="AL53" s="114">
        <f>IF(torlesztes="Egyedi",-SUMIFS(U$7:U$126,T$7:T$126,"&gt;"&amp;AJ52,T$7:T$126,"&lt;="&amp;AJ53),IFERROR(IF(torlesztes="Egyenlő tőke",IF(COUNT($AK$7:AK53)&gt;$D$15,"",-$AK$5/$D$15),0),""))</f>
        <v>-909090.90909090906</v>
      </c>
      <c r="AM53" s="27">
        <f t="shared" ca="1" si="30"/>
        <v>-555676.21419676335</v>
      </c>
      <c r="AN53" s="27">
        <f t="shared" si="19"/>
        <v>58181818.181818306</v>
      </c>
      <c r="AO53" s="27">
        <f>IF(torlesztes="Egyedi",-SUMIFS(U$7:U$126,T$7:T$126,"&gt;"&amp;AJ52,T$7:T$126,"&lt;="&amp;AJ53),IFERROR(IF(torlesztes="Egyenlő tőke",IF(COUNT($AN$7:AN53)&gt;$D$15,"",-$AK$5/$D$15),0),""))</f>
        <v>-909090.90909090906</v>
      </c>
      <c r="AP53" s="27">
        <f t="shared" si="31"/>
        <v>-66948.941469489553</v>
      </c>
      <c r="AR53" s="27">
        <f t="shared" ca="1" si="43"/>
        <v>488727.27272727381</v>
      </c>
      <c r="AS53" s="27">
        <f t="shared" ca="1" si="32"/>
        <v>413983.50787608686</v>
      </c>
      <c r="AT53" s="34">
        <f t="shared" si="44"/>
        <v>28</v>
      </c>
    </row>
    <row r="54" spans="1:46" x14ac:dyDescent="0.25">
      <c r="A54"/>
      <c r="B54" s="105" t="s">
        <v>317</v>
      </c>
      <c r="C54" s="42"/>
      <c r="E54"/>
      <c r="H54"/>
      <c r="I54"/>
      <c r="J54" s="33" t="b">
        <f t="shared" si="10"/>
        <v>0</v>
      </c>
      <c r="K54"/>
      <c r="L54" s="87"/>
      <c r="M54" s="86"/>
      <c r="N54" s="20" t="str">
        <f t="shared" si="23"/>
        <v/>
      </c>
      <c r="O54" s="9">
        <f t="shared" si="35"/>
        <v>0</v>
      </c>
      <c r="P54" s="9">
        <f t="shared" si="26"/>
        <v>0</v>
      </c>
      <c r="Q54" s="9">
        <f t="shared" si="27"/>
        <v>0</v>
      </c>
      <c r="R54" s="24" t="str">
        <f t="shared" si="28"/>
        <v/>
      </c>
      <c r="S54"/>
      <c r="T54" s="88"/>
      <c r="U54" s="86"/>
      <c r="V54" s="20" t="str">
        <f t="shared" si="11"/>
        <v/>
      </c>
      <c r="W54" s="9" t="str">
        <f t="shared" si="12"/>
        <v/>
      </c>
      <c r="X54" s="9" t="str">
        <f t="shared" ca="1" si="36"/>
        <v/>
      </c>
      <c r="Y54" s="9" t="str">
        <f t="shared" si="37"/>
        <v/>
      </c>
      <c r="Z54" s="9" t="str">
        <f t="shared" si="5"/>
        <v/>
      </c>
      <c r="AA54" s="74">
        <f t="shared" si="13"/>
        <v>45731</v>
      </c>
      <c r="AB54" s="35">
        <f t="shared" si="14"/>
        <v>0</v>
      </c>
      <c r="AC54" s="35">
        <f t="shared" si="15"/>
        <v>57272727.2727274</v>
      </c>
      <c r="AD54" s="15">
        <f t="shared" ca="1" si="38"/>
        <v>-605600.24906600383</v>
      </c>
      <c r="AE54" s="15">
        <f t="shared" si="39"/>
        <v>-72963.885429639005</v>
      </c>
      <c r="AF54" s="34">
        <f t="shared" si="40"/>
        <v>31</v>
      </c>
      <c r="AH54" s="34">
        <v>48</v>
      </c>
      <c r="AI54" s="25">
        <f t="shared" si="41"/>
        <v>48</v>
      </c>
      <c r="AJ54" s="26">
        <f t="shared" si="29"/>
        <v>45762</v>
      </c>
      <c r="AK54" s="27">
        <f t="shared" si="42"/>
        <v>57272727.2727274</v>
      </c>
      <c r="AL54" s="114">
        <f>IF(torlesztes="Egyedi",-SUMIFS(U$7:U$126,T$7:T$126,"&gt;"&amp;AJ53,T$7:T$126,"&lt;="&amp;AJ54),IFERROR(IF(torlesztes="Egyenlő tőke",IF(COUNT($AK$7:AK54)&gt;$D$15,"",-$AK$5/$D$15),0),""))</f>
        <v>-909090.90909090906</v>
      </c>
      <c r="AM54" s="27">
        <f t="shared" ca="1" si="30"/>
        <v>-605600.24906600383</v>
      </c>
      <c r="AN54" s="27">
        <f t="shared" si="19"/>
        <v>57272727.2727274</v>
      </c>
      <c r="AO54" s="27">
        <f>IF(torlesztes="Egyedi",-SUMIFS(U$7:U$126,T$7:T$126,"&gt;"&amp;AJ53,T$7:T$126,"&lt;="&amp;AJ54),IFERROR(IF(torlesztes="Egyenlő tőke",IF(COUNT($AN$7:AN54)&gt;$D$15,"",-$AK$5/$D$15),0),""))</f>
        <v>-909090.90909090906</v>
      </c>
      <c r="AP54" s="27">
        <f t="shared" si="31"/>
        <v>-72963.885429639005</v>
      </c>
      <c r="AR54" s="27">
        <f t="shared" ca="1" si="43"/>
        <v>532636.36363636481</v>
      </c>
      <c r="AS54" s="27">
        <f t="shared" ca="1" si="32"/>
        <v>449883.92238497228</v>
      </c>
      <c r="AT54" s="34">
        <f t="shared" si="44"/>
        <v>31</v>
      </c>
    </row>
    <row r="55" spans="1:46" x14ac:dyDescent="0.25">
      <c r="A55"/>
      <c r="B55" s="147" t="s">
        <v>332</v>
      </c>
      <c r="C55" s="148"/>
      <c r="E55"/>
      <c r="H55"/>
      <c r="I55"/>
      <c r="J55" s="33" t="b">
        <f t="shared" si="10"/>
        <v>0</v>
      </c>
      <c r="K55"/>
      <c r="L55" s="87"/>
      <c r="M55" s="86"/>
      <c r="N55" s="20" t="str">
        <f t="shared" si="23"/>
        <v/>
      </c>
      <c r="O55" s="9">
        <f t="shared" si="35"/>
        <v>0</v>
      </c>
      <c r="P55" s="9">
        <f t="shared" si="26"/>
        <v>0</v>
      </c>
      <c r="Q55" s="9">
        <f t="shared" si="27"/>
        <v>0</v>
      </c>
      <c r="R55" s="24" t="str">
        <f t="shared" si="28"/>
        <v/>
      </c>
      <c r="S55"/>
      <c r="T55" s="88"/>
      <c r="U55" s="86"/>
      <c r="V55" s="20" t="str">
        <f t="shared" si="11"/>
        <v/>
      </c>
      <c r="W55" s="9" t="str">
        <f t="shared" si="12"/>
        <v/>
      </c>
      <c r="X55" s="9" t="str">
        <f t="shared" ca="1" si="36"/>
        <v/>
      </c>
      <c r="Y55" s="9" t="str">
        <f t="shared" si="37"/>
        <v/>
      </c>
      <c r="Z55" s="9" t="str">
        <f t="shared" si="5"/>
        <v/>
      </c>
      <c r="AA55" s="74">
        <f t="shared" si="13"/>
        <v>45762</v>
      </c>
      <c r="AB55" s="35">
        <f t="shared" si="14"/>
        <v>0</v>
      </c>
      <c r="AC55" s="35">
        <f t="shared" si="15"/>
        <v>56363636.363636494</v>
      </c>
      <c r="AD55" s="15">
        <f t="shared" ca="1" si="38"/>
        <v>-576762.14196762268</v>
      </c>
      <c r="AE55" s="15">
        <f t="shared" si="39"/>
        <v>-69489.414694894309</v>
      </c>
      <c r="AF55" s="34">
        <f t="shared" si="40"/>
        <v>30</v>
      </c>
      <c r="AH55" s="34">
        <v>49</v>
      </c>
      <c r="AI55" s="25">
        <f t="shared" si="41"/>
        <v>49</v>
      </c>
      <c r="AJ55" s="26">
        <f t="shared" si="29"/>
        <v>45792</v>
      </c>
      <c r="AK55" s="27">
        <f t="shared" si="42"/>
        <v>56363636.363636494</v>
      </c>
      <c r="AL55" s="114">
        <f>IF(torlesztes="Egyedi",-SUMIFS(U$7:U$126,T$7:T$126,"&gt;"&amp;AJ54,T$7:T$126,"&lt;="&amp;AJ55),IFERROR(IF(torlesztes="Egyenlő tőke",IF(COUNT($AK$7:AK55)&gt;$D$15,"",-$AK$5/$D$15),0),""))</f>
        <v>-909090.90909090906</v>
      </c>
      <c r="AM55" s="27">
        <f t="shared" ca="1" si="30"/>
        <v>-576762.14196762268</v>
      </c>
      <c r="AN55" s="27">
        <f t="shared" si="19"/>
        <v>56363636.363636494</v>
      </c>
      <c r="AO55" s="27">
        <f>IF(torlesztes="Egyedi",-SUMIFS(U$7:U$126,T$7:T$126,"&gt;"&amp;AJ54,T$7:T$126,"&lt;="&amp;AJ55),IFERROR(IF(torlesztes="Egyenlő tőke",IF(COUNT($AN$7:AN55)&gt;$D$15,"",-$AK$5/$D$15),0),""))</f>
        <v>-909090.90909090906</v>
      </c>
      <c r="AP55" s="27">
        <f t="shared" si="31"/>
        <v>-69489.414694894309</v>
      </c>
      <c r="AR55" s="27">
        <f t="shared" ca="1" si="43"/>
        <v>507272.72727272834</v>
      </c>
      <c r="AS55" s="27">
        <f t="shared" ca="1" si="32"/>
        <v>427232.58478063403</v>
      </c>
      <c r="AT55" s="34">
        <f t="shared" si="44"/>
        <v>30</v>
      </c>
    </row>
    <row r="56" spans="1:46" x14ac:dyDescent="0.25">
      <c r="A56"/>
      <c r="E56"/>
      <c r="H56"/>
      <c r="I56"/>
      <c r="J56" s="33" t="b">
        <f t="shared" si="10"/>
        <v>0</v>
      </c>
      <c r="K56"/>
      <c r="L56" s="87"/>
      <c r="M56" s="86"/>
      <c r="N56" s="20" t="str">
        <f t="shared" si="23"/>
        <v/>
      </c>
      <c r="O56" s="9">
        <f t="shared" si="35"/>
        <v>0</v>
      </c>
      <c r="P56" s="9">
        <f t="shared" si="26"/>
        <v>0</v>
      </c>
      <c r="Q56" s="9">
        <f t="shared" si="27"/>
        <v>0</v>
      </c>
      <c r="R56" s="24" t="str">
        <f t="shared" si="28"/>
        <v/>
      </c>
      <c r="S56"/>
      <c r="T56" s="88"/>
      <c r="U56" s="86"/>
      <c r="V56" s="20" t="str">
        <f t="shared" si="11"/>
        <v/>
      </c>
      <c r="W56" s="9" t="str">
        <f t="shared" si="12"/>
        <v/>
      </c>
      <c r="X56" s="9" t="str">
        <f t="shared" ca="1" si="36"/>
        <v/>
      </c>
      <c r="Y56" s="9" t="str">
        <f t="shared" si="37"/>
        <v/>
      </c>
      <c r="Z56" s="9" t="str">
        <f t="shared" si="5"/>
        <v/>
      </c>
      <c r="AA56" s="74">
        <f t="shared" si="13"/>
        <v>45792</v>
      </c>
      <c r="AB56" s="35">
        <f t="shared" si="14"/>
        <v>0</v>
      </c>
      <c r="AC56" s="35">
        <f t="shared" si="15"/>
        <v>55454545.454545587</v>
      </c>
      <c r="AD56" s="15">
        <f t="shared" ca="1" si="38"/>
        <v>-586374.84433374996</v>
      </c>
      <c r="AE56" s="15">
        <f t="shared" si="39"/>
        <v>-70647.571606475874</v>
      </c>
      <c r="AF56" s="34">
        <f t="shared" si="40"/>
        <v>31</v>
      </c>
      <c r="AH56" s="34">
        <v>50</v>
      </c>
      <c r="AI56" s="25">
        <f t="shared" si="41"/>
        <v>50</v>
      </c>
      <c r="AJ56" s="26">
        <f t="shared" si="29"/>
        <v>45823</v>
      </c>
      <c r="AK56" s="27">
        <f t="shared" si="42"/>
        <v>55454545.454545587</v>
      </c>
      <c r="AL56" s="114">
        <f>IF(torlesztes="Egyedi",-SUMIFS(U$7:U$126,T$7:T$126,"&gt;"&amp;AJ55,T$7:T$126,"&lt;="&amp;AJ56),IFERROR(IF(torlesztes="Egyenlő tőke",IF(COUNT($AK$7:AK56)&gt;$D$15,"",-$AK$5/$D$15),0),""))</f>
        <v>-909090.90909090906</v>
      </c>
      <c r="AM56" s="27">
        <f t="shared" ca="1" si="30"/>
        <v>-586374.84433374996</v>
      </c>
      <c r="AN56" s="27">
        <f t="shared" si="19"/>
        <v>55454545.454545587</v>
      </c>
      <c r="AO56" s="27">
        <f>IF(torlesztes="Egyedi",-SUMIFS(U$7:U$126,T$7:T$126,"&gt;"&amp;AJ55,T$7:T$126,"&lt;="&amp;AJ56),IFERROR(IF(torlesztes="Egyenlő tőke",IF(COUNT($AN$7:AN56)&gt;$D$15,"",-$AK$5/$D$15),0),""))</f>
        <v>-909090.90909090906</v>
      </c>
      <c r="AP56" s="27">
        <f t="shared" si="31"/>
        <v>-70647.571606475874</v>
      </c>
      <c r="AR56" s="27">
        <f t="shared" ca="1" si="43"/>
        <v>515727.2727272741</v>
      </c>
      <c r="AS56" s="27">
        <f t="shared" ca="1" si="32"/>
        <v>433107.94252555049</v>
      </c>
      <c r="AT56" s="34">
        <f t="shared" si="44"/>
        <v>31</v>
      </c>
    </row>
    <row r="57" spans="1:46" x14ac:dyDescent="0.25">
      <c r="A57"/>
      <c r="B57" s="105" t="s">
        <v>318</v>
      </c>
      <c r="C57" s="42"/>
      <c r="E57"/>
      <c r="H57"/>
      <c r="I57"/>
      <c r="J57" s="33" t="b">
        <f t="shared" si="10"/>
        <v>0</v>
      </c>
      <c r="K57"/>
      <c r="L57" s="87"/>
      <c r="M57" s="86"/>
      <c r="N57" s="20" t="str">
        <f t="shared" si="23"/>
        <v/>
      </c>
      <c r="O57" s="9">
        <f t="shared" si="35"/>
        <v>0</v>
      </c>
      <c r="P57" s="9">
        <f t="shared" si="26"/>
        <v>0</v>
      </c>
      <c r="Q57" s="9">
        <f t="shared" si="27"/>
        <v>0</v>
      </c>
      <c r="R57" s="24" t="str">
        <f t="shared" si="28"/>
        <v/>
      </c>
      <c r="S57"/>
      <c r="T57" s="88"/>
      <c r="U57" s="86"/>
      <c r="V57" s="20" t="str">
        <f t="shared" si="11"/>
        <v/>
      </c>
      <c r="W57" s="9" t="str">
        <f t="shared" si="12"/>
        <v/>
      </c>
      <c r="X57" s="9" t="str">
        <f t="shared" ca="1" si="36"/>
        <v/>
      </c>
      <c r="Y57" s="9" t="str">
        <f t="shared" si="37"/>
        <v/>
      </c>
      <c r="Z57" s="9" t="str">
        <f t="shared" si="5"/>
        <v/>
      </c>
      <c r="AA57" s="74">
        <f t="shared" si="13"/>
        <v>45823</v>
      </c>
      <c r="AB57" s="35">
        <f t="shared" si="14"/>
        <v>0</v>
      </c>
      <c r="AC57" s="35">
        <f t="shared" si="15"/>
        <v>54545454.545454681</v>
      </c>
      <c r="AD57" s="15">
        <f t="shared" ca="1" si="38"/>
        <v>-558156.91158157052</v>
      </c>
      <c r="AE57" s="15">
        <f t="shared" si="39"/>
        <v>-67247.820672478381</v>
      </c>
      <c r="AF57" s="34">
        <f t="shared" si="40"/>
        <v>30</v>
      </c>
      <c r="AH57" s="34">
        <v>51</v>
      </c>
      <c r="AI57" s="25">
        <f t="shared" si="41"/>
        <v>51</v>
      </c>
      <c r="AJ57" s="26">
        <f t="shared" si="29"/>
        <v>45853</v>
      </c>
      <c r="AK57" s="27">
        <f t="shared" si="42"/>
        <v>54545454.545454681</v>
      </c>
      <c r="AL57" s="114">
        <f>IF(torlesztes="Egyedi",-SUMIFS(U$7:U$126,T$7:T$126,"&gt;"&amp;AJ56,T$7:T$126,"&lt;="&amp;AJ57),IFERROR(IF(torlesztes="Egyenlő tőke",IF(COUNT($AK$7:AK57)&gt;$D$15,"",-$AK$5/$D$15),0),""))</f>
        <v>-909090.90909090906</v>
      </c>
      <c r="AM57" s="27">
        <f t="shared" ca="1" si="30"/>
        <v>-558156.91158157052</v>
      </c>
      <c r="AN57" s="27">
        <f t="shared" si="19"/>
        <v>54545454.545454681</v>
      </c>
      <c r="AO57" s="27">
        <f>IF(torlesztes="Egyedi",-SUMIFS(U$7:U$126,T$7:T$126,"&gt;"&amp;AJ56,T$7:T$126,"&lt;="&amp;AJ57),IFERROR(IF(torlesztes="Egyenlő tőke",IF(COUNT($AN$7:AN57)&gt;$D$15,"",-$AK$5/$D$15),0),""))</f>
        <v>-909090.90909090906</v>
      </c>
      <c r="AP57" s="27">
        <f t="shared" si="31"/>
        <v>-67247.820672478381</v>
      </c>
      <c r="AR57" s="27">
        <f t="shared" ca="1" si="43"/>
        <v>490909.0909090921</v>
      </c>
      <c r="AS57" s="27">
        <f t="shared" ca="1" si="32"/>
        <v>411083.75901883392</v>
      </c>
      <c r="AT57" s="34">
        <f t="shared" si="44"/>
        <v>30</v>
      </c>
    </row>
    <row r="58" spans="1:46" x14ac:dyDescent="0.25">
      <c r="A58"/>
      <c r="B58" s="106" t="s">
        <v>333</v>
      </c>
      <c r="C58" s="125" t="s">
        <v>320</v>
      </c>
      <c r="E58"/>
      <c r="H58"/>
      <c r="I58"/>
      <c r="J58" s="33" t="b">
        <f t="shared" si="10"/>
        <v>0</v>
      </c>
      <c r="K58"/>
      <c r="L58" s="87"/>
      <c r="M58" s="86"/>
      <c r="N58" s="20" t="str">
        <f t="shared" si="23"/>
        <v/>
      </c>
      <c r="O58" s="9">
        <f t="shared" si="35"/>
        <v>0</v>
      </c>
      <c r="P58" s="9">
        <f t="shared" si="26"/>
        <v>0</v>
      </c>
      <c r="Q58" s="9">
        <f t="shared" si="27"/>
        <v>0</v>
      </c>
      <c r="R58" s="24" t="str">
        <f t="shared" si="28"/>
        <v/>
      </c>
      <c r="S58"/>
      <c r="T58" s="88"/>
      <c r="U58" s="86"/>
      <c r="V58" s="20" t="str">
        <f t="shared" si="11"/>
        <v/>
      </c>
      <c r="W58" s="9" t="str">
        <f t="shared" si="12"/>
        <v/>
      </c>
      <c r="X58" s="9" t="str">
        <f t="shared" ca="1" si="36"/>
        <v/>
      </c>
      <c r="Y58" s="9" t="str">
        <f t="shared" si="37"/>
        <v/>
      </c>
      <c r="Z58" s="9" t="str">
        <f t="shared" si="5"/>
        <v/>
      </c>
      <c r="AA58" s="74">
        <f t="shared" si="13"/>
        <v>45853</v>
      </c>
      <c r="AB58" s="35">
        <f t="shared" si="14"/>
        <v>0</v>
      </c>
      <c r="AC58" s="35">
        <f t="shared" si="15"/>
        <v>53636363.636363775</v>
      </c>
      <c r="AD58" s="15">
        <f t="shared" ca="1" si="38"/>
        <v>-567149.43960149586</v>
      </c>
      <c r="AE58" s="15">
        <f t="shared" si="39"/>
        <v>-68331.257783312758</v>
      </c>
      <c r="AF58" s="34">
        <f t="shared" si="40"/>
        <v>31</v>
      </c>
      <c r="AH58" s="34">
        <v>52</v>
      </c>
      <c r="AI58" s="25">
        <f t="shared" si="41"/>
        <v>52</v>
      </c>
      <c r="AJ58" s="26">
        <f t="shared" si="29"/>
        <v>45884</v>
      </c>
      <c r="AK58" s="27">
        <f t="shared" si="42"/>
        <v>53636363.636363775</v>
      </c>
      <c r="AL58" s="114">
        <f>IF(torlesztes="Egyedi",-SUMIFS(U$7:U$126,T$7:T$126,"&gt;"&amp;AJ57,T$7:T$126,"&lt;="&amp;AJ58),IFERROR(IF(torlesztes="Egyenlő tőke",IF(COUNT($AK$7:AK58)&gt;$D$15,"",-$AK$5/$D$15),0),""))</f>
        <v>-909090.90909090906</v>
      </c>
      <c r="AM58" s="27">
        <f t="shared" ca="1" si="30"/>
        <v>-567149.43960149586</v>
      </c>
      <c r="AN58" s="27">
        <f t="shared" si="19"/>
        <v>53636363.636363775</v>
      </c>
      <c r="AO58" s="27">
        <f>IF(torlesztes="Egyedi",-SUMIFS(U$7:U$126,T$7:T$126,"&gt;"&amp;AJ57,T$7:T$126,"&lt;="&amp;AJ58),IFERROR(IF(torlesztes="Egyenlő tőke",IF(COUNT($AN$7:AN58)&gt;$D$15,"",-$AK$5/$D$15),0),""))</f>
        <v>-909090.90909090906</v>
      </c>
      <c r="AP58" s="27">
        <f t="shared" si="31"/>
        <v>-68331.257783312758</v>
      </c>
      <c r="AR58" s="27">
        <f t="shared" ca="1" si="43"/>
        <v>498818.1818181831</v>
      </c>
      <c r="AS58" s="27">
        <f t="shared" ca="1" si="32"/>
        <v>416509.31086761528</v>
      </c>
      <c r="AT58" s="34">
        <f t="shared" si="44"/>
        <v>31</v>
      </c>
    </row>
    <row r="59" spans="1:46" x14ac:dyDescent="0.25">
      <c r="A59"/>
      <c r="B59" s="106" t="s">
        <v>319</v>
      </c>
      <c r="C59" s="126"/>
      <c r="E59"/>
      <c r="H59"/>
      <c r="I59"/>
      <c r="J59" s="33" t="b">
        <f t="shared" si="10"/>
        <v>0</v>
      </c>
      <c r="K59"/>
      <c r="L59" s="87"/>
      <c r="M59" s="86"/>
      <c r="N59" s="20" t="str">
        <f t="shared" si="23"/>
        <v/>
      </c>
      <c r="O59" s="9">
        <f t="shared" si="35"/>
        <v>0</v>
      </c>
      <c r="P59" s="9">
        <f t="shared" si="26"/>
        <v>0</v>
      </c>
      <c r="Q59" s="9">
        <f t="shared" si="27"/>
        <v>0</v>
      </c>
      <c r="R59" s="24" t="str">
        <f t="shared" si="28"/>
        <v/>
      </c>
      <c r="S59"/>
      <c r="T59" s="88"/>
      <c r="U59" s="86"/>
      <c r="V59" s="20" t="str">
        <f t="shared" si="11"/>
        <v/>
      </c>
      <c r="W59" s="9" t="str">
        <f t="shared" si="12"/>
        <v/>
      </c>
      <c r="X59" s="9" t="str">
        <f t="shared" ca="1" si="36"/>
        <v/>
      </c>
      <c r="Y59" s="9" t="str">
        <f t="shared" si="37"/>
        <v/>
      </c>
      <c r="Z59" s="9" t="str">
        <f t="shared" si="5"/>
        <v/>
      </c>
      <c r="AA59" s="74">
        <f t="shared" si="13"/>
        <v>45884</v>
      </c>
      <c r="AB59" s="35">
        <f t="shared" si="14"/>
        <v>0</v>
      </c>
      <c r="AC59" s="35">
        <f t="shared" si="15"/>
        <v>52727272.727272868</v>
      </c>
      <c r="AD59" s="15">
        <f t="shared" ca="1" si="38"/>
        <v>-557536.73723536893</v>
      </c>
      <c r="AE59" s="15">
        <f t="shared" si="39"/>
        <v>-67173.100871731178</v>
      </c>
      <c r="AF59" s="34">
        <f t="shared" si="40"/>
        <v>31</v>
      </c>
      <c r="AH59" s="34">
        <v>53</v>
      </c>
      <c r="AI59" s="25">
        <f t="shared" si="41"/>
        <v>53</v>
      </c>
      <c r="AJ59" s="26">
        <f t="shared" si="29"/>
        <v>45915</v>
      </c>
      <c r="AK59" s="27">
        <f t="shared" si="42"/>
        <v>52727272.727272868</v>
      </c>
      <c r="AL59" s="114">
        <f>IF(torlesztes="Egyedi",-SUMIFS(U$7:U$126,T$7:T$126,"&gt;"&amp;AJ58,T$7:T$126,"&lt;="&amp;AJ59),IFERROR(IF(torlesztes="Egyenlő tőke",IF(COUNT($AK$7:AK59)&gt;$D$15,"",-$AK$5/$D$15),0),""))</f>
        <v>-909090.90909090906</v>
      </c>
      <c r="AM59" s="27">
        <f t="shared" ca="1" si="30"/>
        <v>-557536.73723536893</v>
      </c>
      <c r="AN59" s="27">
        <f t="shared" si="19"/>
        <v>52727272.727272868</v>
      </c>
      <c r="AO59" s="27">
        <f>IF(torlesztes="Egyedi",-SUMIFS(U$7:U$126,T$7:T$126,"&gt;"&amp;AJ58,T$7:T$126,"&lt;="&amp;AJ59),IFERROR(IF(torlesztes="Egyenlő tőke",IF(COUNT($AN$7:AN59)&gt;$D$15,"",-$AK$5/$D$15),0),""))</f>
        <v>-909090.90909090906</v>
      </c>
      <c r="AP59" s="27">
        <f t="shared" si="31"/>
        <v>-67173.100871731178</v>
      </c>
      <c r="AR59" s="27">
        <f t="shared" ca="1" si="43"/>
        <v>490363.63636363775</v>
      </c>
      <c r="AS59" s="27">
        <f t="shared" ca="1" si="32"/>
        <v>408276.0374148339</v>
      </c>
      <c r="AT59" s="34">
        <f t="shared" si="44"/>
        <v>31</v>
      </c>
    </row>
    <row r="60" spans="1:46" x14ac:dyDescent="0.25">
      <c r="A60"/>
      <c r="B60" s="122" t="s">
        <v>335</v>
      </c>
      <c r="C60" s="127"/>
      <c r="E60"/>
      <c r="H60"/>
      <c r="I60"/>
      <c r="J60" s="33" t="b">
        <f t="shared" si="10"/>
        <v>0</v>
      </c>
      <c r="K60"/>
      <c r="L60" s="87"/>
      <c r="M60" s="86"/>
      <c r="N60" s="20" t="str">
        <f t="shared" si="23"/>
        <v/>
      </c>
      <c r="O60" s="9">
        <f t="shared" si="35"/>
        <v>0</v>
      </c>
      <c r="P60" s="9">
        <f t="shared" si="26"/>
        <v>0</v>
      </c>
      <c r="Q60" s="9">
        <f t="shared" si="27"/>
        <v>0</v>
      </c>
      <c r="R60" s="24" t="str">
        <f t="shared" si="28"/>
        <v/>
      </c>
      <c r="S60"/>
      <c r="T60" s="88"/>
      <c r="U60" s="86"/>
      <c r="V60" s="20" t="str">
        <f t="shared" si="11"/>
        <v/>
      </c>
      <c r="W60" s="9" t="str">
        <f t="shared" si="12"/>
        <v/>
      </c>
      <c r="X60" s="9" t="str">
        <f t="shared" ca="1" si="36"/>
        <v/>
      </c>
      <c r="Y60" s="9" t="str">
        <f t="shared" si="37"/>
        <v/>
      </c>
      <c r="Z60" s="9" t="str">
        <f t="shared" si="5"/>
        <v/>
      </c>
      <c r="AA60" s="74">
        <f t="shared" si="13"/>
        <v>45915</v>
      </c>
      <c r="AB60" s="35">
        <f t="shared" si="14"/>
        <v>0</v>
      </c>
      <c r="AC60" s="35">
        <f t="shared" si="15"/>
        <v>51818181.818181962</v>
      </c>
      <c r="AD60" s="15">
        <f t="shared" ca="1" si="38"/>
        <v>-530249.06600249221</v>
      </c>
      <c r="AE60" s="15">
        <f t="shared" si="39"/>
        <v>-63885.429638854468</v>
      </c>
      <c r="AF60" s="34">
        <f t="shared" si="40"/>
        <v>30</v>
      </c>
      <c r="AH60" s="34">
        <v>54</v>
      </c>
      <c r="AI60" s="25">
        <f t="shared" si="41"/>
        <v>54</v>
      </c>
      <c r="AJ60" s="26">
        <f t="shared" si="29"/>
        <v>45945</v>
      </c>
      <c r="AK60" s="27">
        <f t="shared" si="42"/>
        <v>51818181.818181962</v>
      </c>
      <c r="AL60" s="114">
        <f>IF(torlesztes="Egyedi",-SUMIFS(U$7:U$126,T$7:T$126,"&gt;"&amp;AJ59,T$7:T$126,"&lt;="&amp;AJ60),IFERROR(IF(torlesztes="Egyenlő tőke",IF(COUNT($AK$7:AK60)&gt;$D$15,"",-$AK$5/$D$15),0),""))</f>
        <v>-909090.90909090906</v>
      </c>
      <c r="AM60" s="27">
        <f t="shared" ca="1" si="30"/>
        <v>-530249.06600249221</v>
      </c>
      <c r="AN60" s="27">
        <f t="shared" si="19"/>
        <v>51818181.818181962</v>
      </c>
      <c r="AO60" s="27">
        <f>IF(torlesztes="Egyedi",-SUMIFS(U$7:U$126,T$7:T$126,"&gt;"&amp;AJ59,T$7:T$126,"&lt;="&amp;AJ60),IFERROR(IF(torlesztes="Egyenlő tőke",IF(COUNT($AN$7:AN60)&gt;$D$15,"",-$AK$5/$D$15),0),""))</f>
        <v>-909090.90909090906</v>
      </c>
      <c r="AP60" s="27">
        <f t="shared" si="31"/>
        <v>-63885.429638854468</v>
      </c>
      <c r="AR60" s="27">
        <f t="shared" ca="1" si="43"/>
        <v>466363.63636363775</v>
      </c>
      <c r="AS60" s="27">
        <f t="shared" ca="1" si="32"/>
        <v>387180.5289377945</v>
      </c>
      <c r="AT60" s="34">
        <f t="shared" si="44"/>
        <v>30</v>
      </c>
    </row>
    <row r="61" spans="1:46" x14ac:dyDescent="0.25">
      <c r="A61"/>
      <c r="E61"/>
      <c r="H61"/>
      <c r="I61"/>
      <c r="J61" s="33" t="b">
        <f t="shared" si="10"/>
        <v>0</v>
      </c>
      <c r="K61"/>
      <c r="L61" s="87"/>
      <c r="M61" s="86"/>
      <c r="N61" s="20" t="str">
        <f t="shared" si="23"/>
        <v/>
      </c>
      <c r="O61" s="9">
        <f t="shared" si="35"/>
        <v>0</v>
      </c>
      <c r="P61" s="9">
        <f t="shared" si="26"/>
        <v>0</v>
      </c>
      <c r="Q61" s="9">
        <f t="shared" si="27"/>
        <v>0</v>
      </c>
      <c r="R61" s="24" t="str">
        <f t="shared" si="28"/>
        <v/>
      </c>
      <c r="S61"/>
      <c r="T61" s="88"/>
      <c r="U61" s="86"/>
      <c r="V61" s="20" t="str">
        <f t="shared" si="11"/>
        <v/>
      </c>
      <c r="W61" s="9" t="str">
        <f t="shared" si="12"/>
        <v/>
      </c>
      <c r="X61" s="9" t="str">
        <f t="shared" ca="1" si="36"/>
        <v/>
      </c>
      <c r="Y61" s="9" t="str">
        <f t="shared" si="37"/>
        <v/>
      </c>
      <c r="Z61" s="9" t="str">
        <f t="shared" si="5"/>
        <v/>
      </c>
      <c r="AA61" s="74">
        <f t="shared" si="13"/>
        <v>45945</v>
      </c>
      <c r="AB61" s="35">
        <f t="shared" si="14"/>
        <v>0</v>
      </c>
      <c r="AC61" s="35">
        <f t="shared" si="15"/>
        <v>50909090.909091055</v>
      </c>
      <c r="AD61" s="15">
        <f t="shared" ca="1" si="38"/>
        <v>-538311.33250311483</v>
      </c>
      <c r="AE61" s="15">
        <f t="shared" si="39"/>
        <v>-64856.787048568061</v>
      </c>
      <c r="AF61" s="34">
        <f t="shared" si="40"/>
        <v>31</v>
      </c>
      <c r="AH61" s="34">
        <v>55</v>
      </c>
      <c r="AI61" s="25">
        <f t="shared" si="41"/>
        <v>55</v>
      </c>
      <c r="AJ61" s="26">
        <f t="shared" si="29"/>
        <v>45976</v>
      </c>
      <c r="AK61" s="27">
        <f t="shared" si="42"/>
        <v>50909090.909091055</v>
      </c>
      <c r="AL61" s="114">
        <f>IF(torlesztes="Egyedi",-SUMIFS(U$7:U$126,T$7:T$126,"&gt;"&amp;AJ60,T$7:T$126,"&lt;="&amp;AJ61),IFERROR(IF(torlesztes="Egyenlő tőke",IF(COUNT($AK$7:AK61)&gt;$D$15,"",-$AK$5/$D$15),0),""))</f>
        <v>-909090.90909090906</v>
      </c>
      <c r="AM61" s="27">
        <f t="shared" ca="1" si="30"/>
        <v>-538311.33250311483</v>
      </c>
      <c r="AN61" s="27">
        <f t="shared" si="19"/>
        <v>50909090.909091055</v>
      </c>
      <c r="AO61" s="27">
        <f>IF(torlesztes="Egyedi",-SUMIFS(U$7:U$126,T$7:T$126,"&gt;"&amp;AJ60,T$7:T$126,"&lt;="&amp;AJ61),IFERROR(IF(torlesztes="Egyenlő tőke",IF(COUNT($AN$7:AN61)&gt;$D$15,"",-$AK$5/$D$15),0),""))</f>
        <v>-909090.90909090906</v>
      </c>
      <c r="AP61" s="27">
        <f t="shared" si="31"/>
        <v>-64856.787048568061</v>
      </c>
      <c r="AR61" s="27">
        <f t="shared" ca="1" si="43"/>
        <v>473454.54545454675</v>
      </c>
      <c r="AS61" s="27">
        <f t="shared" ca="1" si="32"/>
        <v>391940.65496551857</v>
      </c>
      <c r="AT61" s="34">
        <f t="shared" si="44"/>
        <v>31</v>
      </c>
    </row>
    <row r="62" spans="1:46" x14ac:dyDescent="0.25">
      <c r="A62"/>
      <c r="E62"/>
      <c r="H62"/>
      <c r="I62"/>
      <c r="J62" s="33" t="b">
        <f t="shared" si="10"/>
        <v>0</v>
      </c>
      <c r="K62"/>
      <c r="L62" s="87"/>
      <c r="M62" s="86"/>
      <c r="N62" s="20" t="str">
        <f t="shared" si="23"/>
        <v/>
      </c>
      <c r="O62" s="9">
        <f t="shared" si="35"/>
        <v>0</v>
      </c>
      <c r="P62" s="9">
        <f t="shared" si="26"/>
        <v>0</v>
      </c>
      <c r="Q62" s="9">
        <f t="shared" si="27"/>
        <v>0</v>
      </c>
      <c r="R62" s="24" t="str">
        <f t="shared" si="28"/>
        <v/>
      </c>
      <c r="S62"/>
      <c r="T62" s="88"/>
      <c r="U62" s="86"/>
      <c r="V62" s="20" t="str">
        <f t="shared" si="11"/>
        <v/>
      </c>
      <c r="W62" s="9" t="str">
        <f t="shared" si="12"/>
        <v/>
      </c>
      <c r="X62" s="9" t="str">
        <f t="shared" ca="1" si="36"/>
        <v/>
      </c>
      <c r="Y62" s="9" t="str">
        <f t="shared" si="37"/>
        <v/>
      </c>
      <c r="Z62" s="9" t="str">
        <f t="shared" si="5"/>
        <v/>
      </c>
      <c r="AA62" s="74">
        <f t="shared" si="13"/>
        <v>45976</v>
      </c>
      <c r="AB62" s="35">
        <f t="shared" si="14"/>
        <v>0</v>
      </c>
      <c r="AC62" s="35">
        <f t="shared" si="15"/>
        <v>50000000.000000149</v>
      </c>
      <c r="AD62" s="15">
        <f t="shared" ca="1" si="38"/>
        <v>-511643.83561643987</v>
      </c>
      <c r="AE62" s="15">
        <f t="shared" si="39"/>
        <v>-61643.83561643854</v>
      </c>
      <c r="AF62" s="34">
        <f t="shared" si="40"/>
        <v>30</v>
      </c>
      <c r="AH62" s="34">
        <v>56</v>
      </c>
      <c r="AI62" s="25">
        <f t="shared" si="41"/>
        <v>56</v>
      </c>
      <c r="AJ62" s="26">
        <f t="shared" si="29"/>
        <v>46006</v>
      </c>
      <c r="AK62" s="27">
        <f t="shared" si="42"/>
        <v>50000000.000000149</v>
      </c>
      <c r="AL62" s="114">
        <f>IF(torlesztes="Egyedi",-SUMIFS(U$7:U$126,T$7:T$126,"&gt;"&amp;AJ61,T$7:T$126,"&lt;="&amp;AJ62),IFERROR(IF(torlesztes="Egyenlő tőke",IF(COUNT($AK$7:AK62)&gt;$D$15,"",-$AK$5/$D$15),0),""))</f>
        <v>-909090.90909090906</v>
      </c>
      <c r="AM62" s="27">
        <f t="shared" ca="1" si="30"/>
        <v>-511643.83561643987</v>
      </c>
      <c r="AN62" s="27">
        <f t="shared" si="19"/>
        <v>50000000.000000149</v>
      </c>
      <c r="AO62" s="27">
        <f>IF(torlesztes="Egyedi",-SUMIFS(U$7:U$126,T$7:T$126,"&gt;"&amp;AJ61,T$7:T$126,"&lt;="&amp;AJ62),IFERROR(IF(torlesztes="Egyenlő tőke",IF(COUNT($AN$7:AN62)&gt;$D$15,"",-$AK$5/$D$15),0),""))</f>
        <v>-909090.90909090906</v>
      </c>
      <c r="AP62" s="27">
        <f t="shared" si="31"/>
        <v>-61643.83561643854</v>
      </c>
      <c r="AR62" s="27">
        <f t="shared" ca="1" si="43"/>
        <v>450000.00000000134</v>
      </c>
      <c r="AS62" s="27">
        <f t="shared" ca="1" si="32"/>
        <v>371456.30315900879</v>
      </c>
      <c r="AT62" s="34">
        <f t="shared" si="44"/>
        <v>30</v>
      </c>
    </row>
    <row r="63" spans="1:46" x14ac:dyDescent="0.25">
      <c r="A63"/>
      <c r="E63"/>
      <c r="H63"/>
      <c r="I63"/>
      <c r="J63" s="33" t="b">
        <f t="shared" si="10"/>
        <v>0</v>
      </c>
      <c r="K63"/>
      <c r="L63" s="87"/>
      <c r="M63" s="86"/>
      <c r="N63" s="20" t="str">
        <f t="shared" si="23"/>
        <v/>
      </c>
      <c r="O63" s="9">
        <f t="shared" si="35"/>
        <v>0</v>
      </c>
      <c r="P63" s="9">
        <f t="shared" si="26"/>
        <v>0</v>
      </c>
      <c r="Q63" s="9">
        <f t="shared" si="27"/>
        <v>0</v>
      </c>
      <c r="R63" s="24" t="str">
        <f t="shared" si="28"/>
        <v/>
      </c>
      <c r="S63"/>
      <c r="T63" s="88"/>
      <c r="U63" s="86"/>
      <c r="V63" s="20" t="str">
        <f t="shared" si="11"/>
        <v/>
      </c>
      <c r="W63" s="9" t="str">
        <f t="shared" si="12"/>
        <v/>
      </c>
      <c r="X63" s="9" t="str">
        <f t="shared" ca="1" si="36"/>
        <v/>
      </c>
      <c r="Y63" s="9" t="str">
        <f t="shared" si="37"/>
        <v/>
      </c>
      <c r="Z63" s="9" t="str">
        <f t="shared" si="5"/>
        <v/>
      </c>
      <c r="AA63" s="74">
        <f t="shared" si="13"/>
        <v>46006</v>
      </c>
      <c r="AB63" s="35">
        <f t="shared" si="14"/>
        <v>0</v>
      </c>
      <c r="AC63" s="35">
        <f t="shared" si="15"/>
        <v>49090909.090909243</v>
      </c>
      <c r="AD63" s="15">
        <f t="shared" ca="1" si="38"/>
        <v>-519085.9277708609</v>
      </c>
      <c r="AE63" s="15">
        <f t="shared" si="39"/>
        <v>-62540.473225404916</v>
      </c>
      <c r="AF63" s="34">
        <f t="shared" si="40"/>
        <v>31</v>
      </c>
      <c r="AH63" s="34">
        <v>57</v>
      </c>
      <c r="AI63" s="25">
        <f t="shared" si="41"/>
        <v>57</v>
      </c>
      <c r="AJ63" s="26">
        <f t="shared" si="29"/>
        <v>46037</v>
      </c>
      <c r="AK63" s="27">
        <f t="shared" si="42"/>
        <v>49090909.090909243</v>
      </c>
      <c r="AL63" s="114">
        <f>IF(torlesztes="Egyedi",-SUMIFS(U$7:U$126,T$7:T$126,"&gt;"&amp;AJ62,T$7:T$126,"&lt;="&amp;AJ63),IFERROR(IF(torlesztes="Egyenlő tőke",IF(COUNT($AK$7:AK63)&gt;$D$15,"",-$AK$5/$D$15),0),""))</f>
        <v>-909090.90909090906</v>
      </c>
      <c r="AM63" s="27">
        <f t="shared" ca="1" si="30"/>
        <v>-519085.9277708609</v>
      </c>
      <c r="AN63" s="27">
        <f t="shared" si="19"/>
        <v>49090909.090909243</v>
      </c>
      <c r="AO63" s="27">
        <f>IF(torlesztes="Egyedi",-SUMIFS(U$7:U$126,T$7:T$126,"&gt;"&amp;AJ62,T$7:T$126,"&lt;="&amp;AJ63),IFERROR(IF(torlesztes="Egyenlő tőke",IF(COUNT($AN$7:AN63)&gt;$D$15,"",-$AK$5/$D$15),0),""))</f>
        <v>-909090.90909090906</v>
      </c>
      <c r="AP63" s="27">
        <f t="shared" si="31"/>
        <v>-62540.473225404916</v>
      </c>
      <c r="AR63" s="27">
        <f t="shared" ca="1" si="43"/>
        <v>456545.45454545598</v>
      </c>
      <c r="AS63" s="27">
        <f t="shared" ca="1" si="32"/>
        <v>375778.9394812223</v>
      </c>
      <c r="AT63" s="34">
        <f t="shared" si="44"/>
        <v>31</v>
      </c>
    </row>
    <row r="64" spans="1:46" x14ac:dyDescent="0.25">
      <c r="A64"/>
      <c r="E64"/>
      <c r="H64"/>
      <c r="I64"/>
      <c r="J64" s="33" t="b">
        <f t="shared" si="10"/>
        <v>0</v>
      </c>
      <c r="K64"/>
      <c r="L64" s="87"/>
      <c r="M64" s="86"/>
      <c r="N64" s="20" t="str">
        <f t="shared" si="23"/>
        <v/>
      </c>
      <c r="O64" s="9">
        <f t="shared" si="35"/>
        <v>0</v>
      </c>
      <c r="P64" s="9">
        <f t="shared" si="26"/>
        <v>0</v>
      </c>
      <c r="Q64" s="9">
        <f t="shared" si="27"/>
        <v>0</v>
      </c>
      <c r="R64" s="24" t="str">
        <f t="shared" si="28"/>
        <v/>
      </c>
      <c r="S64"/>
      <c r="T64" s="88"/>
      <c r="U64" s="86"/>
      <c r="V64" s="20" t="str">
        <f t="shared" si="11"/>
        <v/>
      </c>
      <c r="W64" s="9" t="str">
        <f t="shared" si="12"/>
        <v/>
      </c>
      <c r="X64" s="9" t="str">
        <f t="shared" ca="1" si="36"/>
        <v/>
      </c>
      <c r="Y64" s="9" t="str">
        <f t="shared" si="37"/>
        <v/>
      </c>
      <c r="Z64" s="9" t="str">
        <f t="shared" si="5"/>
        <v/>
      </c>
      <c r="AA64" s="74">
        <f t="shared" si="13"/>
        <v>46037</v>
      </c>
      <c r="AB64" s="35">
        <f t="shared" si="14"/>
        <v>0</v>
      </c>
      <c r="AC64" s="35">
        <f t="shared" si="15"/>
        <v>48181818.181818336</v>
      </c>
      <c r="AD64" s="15">
        <f t="shared" ca="1" si="38"/>
        <v>-509473.22540473391</v>
      </c>
      <c r="AE64" s="15">
        <f t="shared" si="39"/>
        <v>-61382.316313823358</v>
      </c>
      <c r="AF64" s="34">
        <f t="shared" si="40"/>
        <v>31</v>
      </c>
      <c r="AH64" s="34">
        <v>58</v>
      </c>
      <c r="AI64" s="25">
        <f t="shared" si="41"/>
        <v>58</v>
      </c>
      <c r="AJ64" s="26">
        <f t="shared" si="29"/>
        <v>46068</v>
      </c>
      <c r="AK64" s="27">
        <f t="shared" si="42"/>
        <v>48181818.181818336</v>
      </c>
      <c r="AL64" s="114">
        <f>IF(torlesztes="Egyedi",-SUMIFS(U$7:U$126,T$7:T$126,"&gt;"&amp;AJ63,T$7:T$126,"&lt;="&amp;AJ64),IFERROR(IF(torlesztes="Egyenlő tőke",IF(COUNT($AK$7:AK64)&gt;$D$15,"",-$AK$5/$D$15),0),""))</f>
        <v>-909090.90909090906</v>
      </c>
      <c r="AM64" s="27">
        <f t="shared" ca="1" si="30"/>
        <v>-509473.22540473391</v>
      </c>
      <c r="AN64" s="27">
        <f t="shared" si="19"/>
        <v>48181818.181818336</v>
      </c>
      <c r="AO64" s="27">
        <f>IF(torlesztes="Egyedi",-SUMIFS(U$7:U$126,T$7:T$126,"&gt;"&amp;AJ63,T$7:T$126,"&lt;="&amp;AJ64),IFERROR(IF(torlesztes="Egyenlő tőke",IF(COUNT($AN$7:AN64)&gt;$D$15,"",-$AK$5/$D$15),0),""))</f>
        <v>-909090.90909090906</v>
      </c>
      <c r="AP64" s="27">
        <f t="shared" si="31"/>
        <v>-61382.316313823358</v>
      </c>
      <c r="AR64" s="27">
        <f t="shared" ca="1" si="43"/>
        <v>448090.90909091057</v>
      </c>
      <c r="AS64" s="27">
        <f t="shared" ca="1" si="32"/>
        <v>367762.75231865398</v>
      </c>
      <c r="AT64" s="34">
        <f t="shared" si="44"/>
        <v>31</v>
      </c>
    </row>
    <row r="65" spans="1:46" x14ac:dyDescent="0.25">
      <c r="A65"/>
      <c r="E65"/>
      <c r="H65"/>
      <c r="I65"/>
      <c r="J65" s="33" t="b">
        <f t="shared" si="10"/>
        <v>0</v>
      </c>
      <c r="K65"/>
      <c r="L65" s="87"/>
      <c r="M65" s="86"/>
      <c r="N65" s="20" t="str">
        <f t="shared" si="23"/>
        <v/>
      </c>
      <c r="O65" s="9">
        <f t="shared" si="35"/>
        <v>0</v>
      </c>
      <c r="P65" s="9">
        <f t="shared" si="26"/>
        <v>0</v>
      </c>
      <c r="Q65" s="9">
        <f t="shared" si="27"/>
        <v>0</v>
      </c>
      <c r="R65" s="24" t="str">
        <f t="shared" si="28"/>
        <v/>
      </c>
      <c r="S65"/>
      <c r="T65" s="88"/>
      <c r="U65" s="86"/>
      <c r="V65" s="20" t="str">
        <f t="shared" si="11"/>
        <v/>
      </c>
      <c r="W65" s="9" t="str">
        <f t="shared" si="12"/>
        <v/>
      </c>
      <c r="X65" s="9" t="str">
        <f t="shared" ca="1" si="36"/>
        <v/>
      </c>
      <c r="Y65" s="9" t="str">
        <f t="shared" si="37"/>
        <v/>
      </c>
      <c r="Z65" s="9" t="str">
        <f t="shared" si="5"/>
        <v/>
      </c>
      <c r="AA65" s="74">
        <f t="shared" si="13"/>
        <v>46068</v>
      </c>
      <c r="AB65" s="35">
        <f t="shared" si="14"/>
        <v>0</v>
      </c>
      <c r="AC65" s="35">
        <f t="shared" si="15"/>
        <v>47272727.27272743</v>
      </c>
      <c r="AD65" s="15">
        <f t="shared" ca="1" si="38"/>
        <v>-451486.92403487081</v>
      </c>
      <c r="AE65" s="15">
        <f t="shared" si="39"/>
        <v>-54396.014943960326</v>
      </c>
      <c r="AF65" s="34">
        <f t="shared" si="40"/>
        <v>28</v>
      </c>
      <c r="AH65" s="34">
        <v>59</v>
      </c>
      <c r="AI65" s="25">
        <f t="shared" si="41"/>
        <v>59</v>
      </c>
      <c r="AJ65" s="26">
        <f t="shared" si="29"/>
        <v>46096</v>
      </c>
      <c r="AK65" s="27">
        <f t="shared" si="42"/>
        <v>47272727.27272743</v>
      </c>
      <c r="AL65" s="114">
        <f>IF(torlesztes="Egyedi",-SUMIFS(U$7:U$126,T$7:T$126,"&gt;"&amp;AJ64,T$7:T$126,"&lt;="&amp;AJ65),IFERROR(IF(torlesztes="Egyenlő tőke",IF(COUNT($AK$7:AK65)&gt;$D$15,"",-$AK$5/$D$15),0),""))</f>
        <v>-909090.90909090906</v>
      </c>
      <c r="AM65" s="27">
        <f t="shared" ca="1" si="30"/>
        <v>-451486.92403487081</v>
      </c>
      <c r="AN65" s="27">
        <f t="shared" si="19"/>
        <v>47272727.27272743</v>
      </c>
      <c r="AO65" s="27">
        <f>IF(torlesztes="Egyedi",-SUMIFS(U$7:U$126,T$7:T$126,"&gt;"&amp;AJ64,T$7:T$126,"&lt;="&amp;AJ65),IFERROR(IF(torlesztes="Egyenlő tőke",IF(COUNT($AN$7:AN65)&gt;$D$15,"",-$AK$5/$D$15),0),""))</f>
        <v>-909090.90909090906</v>
      </c>
      <c r="AP65" s="27">
        <f t="shared" si="31"/>
        <v>-54396.014943960326</v>
      </c>
      <c r="AR65" s="27">
        <f t="shared" ca="1" si="43"/>
        <v>397090.90909091046</v>
      </c>
      <c r="AS65" s="27">
        <f t="shared" ca="1" si="32"/>
        <v>324971.10513661557</v>
      </c>
      <c r="AT65" s="34">
        <f t="shared" si="44"/>
        <v>28</v>
      </c>
    </row>
    <row r="66" spans="1:46" x14ac:dyDescent="0.25">
      <c r="A66"/>
      <c r="E66"/>
      <c r="H66"/>
      <c r="I66"/>
      <c r="J66" s="33" t="b">
        <f t="shared" si="10"/>
        <v>0</v>
      </c>
      <c r="K66"/>
      <c r="L66" s="87"/>
      <c r="M66" s="86"/>
      <c r="N66" s="20" t="str">
        <f t="shared" si="23"/>
        <v/>
      </c>
      <c r="O66" s="9">
        <f t="shared" si="35"/>
        <v>0</v>
      </c>
      <c r="P66" s="9">
        <f t="shared" si="26"/>
        <v>0</v>
      </c>
      <c r="Q66" s="9">
        <f t="shared" si="27"/>
        <v>0</v>
      </c>
      <c r="R66" s="24" t="str">
        <f t="shared" si="28"/>
        <v/>
      </c>
      <c r="S66"/>
      <c r="T66" s="88"/>
      <c r="U66" s="86"/>
      <c r="V66" s="20" t="str">
        <f t="shared" si="11"/>
        <v/>
      </c>
      <c r="W66" s="9" t="str">
        <f t="shared" si="12"/>
        <v/>
      </c>
      <c r="X66" s="9" t="str">
        <f t="shared" ca="1" si="36"/>
        <v/>
      </c>
      <c r="Y66" s="9" t="str">
        <f t="shared" si="37"/>
        <v/>
      </c>
      <c r="Z66" s="9" t="str">
        <f t="shared" si="5"/>
        <v/>
      </c>
      <c r="AA66" s="74">
        <f t="shared" si="13"/>
        <v>46096</v>
      </c>
      <c r="AB66" s="35">
        <f t="shared" si="14"/>
        <v>0</v>
      </c>
      <c r="AC66" s="35">
        <f t="shared" si="15"/>
        <v>46363636.363636523</v>
      </c>
      <c r="AD66" s="15">
        <f t="shared" ca="1" si="38"/>
        <v>-490247.82067247992</v>
      </c>
      <c r="AE66" s="15">
        <f t="shared" si="39"/>
        <v>-59066.002490660227</v>
      </c>
      <c r="AF66" s="34">
        <f t="shared" si="40"/>
        <v>31</v>
      </c>
      <c r="AH66" s="34">
        <v>60</v>
      </c>
      <c r="AI66" s="25">
        <f t="shared" si="41"/>
        <v>60</v>
      </c>
      <c r="AJ66" s="26">
        <f t="shared" si="29"/>
        <v>46127</v>
      </c>
      <c r="AK66" s="27">
        <f t="shared" si="42"/>
        <v>46363636.363636523</v>
      </c>
      <c r="AL66" s="114">
        <f>IF(torlesztes="Egyedi",-SUMIFS(U$7:U$126,T$7:T$126,"&gt;"&amp;AJ65,T$7:T$126,"&lt;="&amp;AJ66),IFERROR(IF(torlesztes="Egyenlő tőke",IF(COUNT($AK$7:AK66)&gt;$D$15,"",-$AK$5/$D$15),0),""))</f>
        <v>-909090.90909090906</v>
      </c>
      <c r="AM66" s="27">
        <f t="shared" ca="1" si="30"/>
        <v>-490247.82067247992</v>
      </c>
      <c r="AN66" s="27">
        <f t="shared" si="19"/>
        <v>46363636.363636523</v>
      </c>
      <c r="AO66" s="27">
        <f>IF(torlesztes="Egyedi",-SUMIFS(U$7:U$126,T$7:T$126,"&gt;"&amp;AJ65,T$7:T$126,"&lt;="&amp;AJ66),IFERROR(IF(torlesztes="Egyenlő tőke",IF(COUNT($AN$7:AN66)&gt;$D$15,"",-$AK$5/$D$15),0),""))</f>
        <v>-909090.90909090906</v>
      </c>
      <c r="AP66" s="27">
        <f t="shared" si="31"/>
        <v>-59066.002490660227</v>
      </c>
      <c r="AR66" s="27">
        <f t="shared" ca="1" si="43"/>
        <v>431181.81818181969</v>
      </c>
      <c r="AS66" s="27">
        <f t="shared" ca="1" si="32"/>
        <v>351858.81608301221</v>
      </c>
      <c r="AT66" s="34">
        <f t="shared" si="44"/>
        <v>31</v>
      </c>
    </row>
    <row r="67" spans="1:46" x14ac:dyDescent="0.25">
      <c r="A67"/>
      <c r="E67"/>
      <c r="H67"/>
      <c r="I67"/>
      <c r="J67" s="33" t="b">
        <f t="shared" si="10"/>
        <v>0</v>
      </c>
      <c r="K67"/>
      <c r="L67" s="87"/>
      <c r="M67" s="86"/>
      <c r="N67" s="20" t="str">
        <f t="shared" si="23"/>
        <v/>
      </c>
      <c r="O67" s="9">
        <f t="shared" si="35"/>
        <v>0</v>
      </c>
      <c r="P67" s="9">
        <f t="shared" si="26"/>
        <v>0</v>
      </c>
      <c r="Q67" s="9">
        <f t="shared" si="27"/>
        <v>0</v>
      </c>
      <c r="R67" s="24" t="str">
        <f t="shared" si="28"/>
        <v/>
      </c>
      <c r="S67"/>
      <c r="T67" s="88"/>
      <c r="U67" s="86"/>
      <c r="V67" s="20" t="str">
        <f t="shared" si="11"/>
        <v/>
      </c>
      <c r="W67" s="9" t="str">
        <f t="shared" si="12"/>
        <v/>
      </c>
      <c r="X67" s="9" t="str">
        <f t="shared" ca="1" si="36"/>
        <v/>
      </c>
      <c r="Y67" s="9" t="str">
        <f t="shared" si="37"/>
        <v/>
      </c>
      <c r="Z67" s="9" t="str">
        <f t="shared" si="5"/>
        <v/>
      </c>
      <c r="AA67" s="74">
        <f t="shared" si="13"/>
        <v>46127</v>
      </c>
      <c r="AB67" s="35">
        <f t="shared" si="14"/>
        <v>0</v>
      </c>
      <c r="AC67" s="35">
        <f t="shared" si="15"/>
        <v>45454545.454545617</v>
      </c>
      <c r="AD67" s="15">
        <f t="shared" ca="1" si="38"/>
        <v>-465130.75965130929</v>
      </c>
      <c r="AE67" s="15">
        <f t="shared" si="39"/>
        <v>-56039.8505603987</v>
      </c>
      <c r="AF67" s="34">
        <f t="shared" si="40"/>
        <v>30</v>
      </c>
      <c r="AH67" s="34">
        <v>61</v>
      </c>
      <c r="AI67" s="25">
        <f t="shared" si="41"/>
        <v>61</v>
      </c>
      <c r="AJ67" s="26">
        <f t="shared" si="29"/>
        <v>46157</v>
      </c>
      <c r="AK67" s="27">
        <f t="shared" si="42"/>
        <v>45454545.454545617</v>
      </c>
      <c r="AL67" s="114">
        <f>IF(torlesztes="Egyedi",-SUMIFS(U$7:U$126,T$7:T$126,"&gt;"&amp;AJ66,T$7:T$126,"&lt;="&amp;AJ67),IFERROR(IF(torlesztes="Egyenlő tőke",IF(COUNT($AK$7:AK67)&gt;$D$15,"",-$AK$5/$D$15),0),""))</f>
        <v>-909090.90909090906</v>
      </c>
      <c r="AM67" s="27">
        <f t="shared" ca="1" si="30"/>
        <v>-465130.75965130929</v>
      </c>
      <c r="AN67" s="27">
        <f t="shared" si="19"/>
        <v>45454545.454545617</v>
      </c>
      <c r="AO67" s="27">
        <f>IF(torlesztes="Egyedi",-SUMIFS(U$7:U$126,T$7:T$126,"&gt;"&amp;AJ66,T$7:T$126,"&lt;="&amp;AJ67),IFERROR(IF(torlesztes="Egyenlő tőke",IF(COUNT($AN$7:AN67)&gt;$D$15,"",-$AK$5/$D$15),0),""))</f>
        <v>-909090.90909090906</v>
      </c>
      <c r="AP67" s="27">
        <f t="shared" si="31"/>
        <v>-56039.8505603987</v>
      </c>
      <c r="AR67" s="27">
        <f t="shared" ca="1" si="43"/>
        <v>409090.90909091057</v>
      </c>
      <c r="AS67" s="27">
        <f t="shared" ca="1" si="32"/>
        <v>332874.87854109384</v>
      </c>
      <c r="AT67" s="34">
        <f t="shared" si="44"/>
        <v>30</v>
      </c>
    </row>
    <row r="68" spans="1:46" x14ac:dyDescent="0.25">
      <c r="A68"/>
      <c r="E68"/>
      <c r="H68"/>
      <c r="I68"/>
      <c r="J68" s="33" t="b">
        <f t="shared" si="10"/>
        <v>0</v>
      </c>
      <c r="K68"/>
      <c r="L68" s="87"/>
      <c r="M68" s="86"/>
      <c r="N68" s="20" t="str">
        <f t="shared" si="23"/>
        <v/>
      </c>
      <c r="O68" s="9">
        <f t="shared" si="35"/>
        <v>0</v>
      </c>
      <c r="P68" s="9">
        <f t="shared" si="26"/>
        <v>0</v>
      </c>
      <c r="Q68" s="9">
        <f t="shared" si="27"/>
        <v>0</v>
      </c>
      <c r="R68" s="24" t="str">
        <f t="shared" si="28"/>
        <v/>
      </c>
      <c r="S68"/>
      <c r="T68" s="88"/>
      <c r="U68" s="86"/>
      <c r="V68" s="20" t="str">
        <f t="shared" si="11"/>
        <v/>
      </c>
      <c r="W68" s="9" t="str">
        <f t="shared" si="12"/>
        <v/>
      </c>
      <c r="X68" s="9" t="str">
        <f t="shared" ca="1" si="36"/>
        <v/>
      </c>
      <c r="Y68" s="9" t="str">
        <f t="shared" si="37"/>
        <v/>
      </c>
      <c r="Z68" s="9" t="str">
        <f t="shared" si="5"/>
        <v/>
      </c>
      <c r="AA68" s="74">
        <f t="shared" si="13"/>
        <v>46157</v>
      </c>
      <c r="AB68" s="35">
        <f t="shared" si="14"/>
        <v>0</v>
      </c>
      <c r="AC68" s="35">
        <f t="shared" si="15"/>
        <v>44545454.545454711</v>
      </c>
      <c r="AD68" s="15">
        <f t="shared" ca="1" si="38"/>
        <v>-471022.41594022588</v>
      </c>
      <c r="AE68" s="15">
        <f t="shared" si="39"/>
        <v>-56749.688667497096</v>
      </c>
      <c r="AF68" s="34">
        <f t="shared" si="40"/>
        <v>31</v>
      </c>
      <c r="AH68" s="34">
        <v>62</v>
      </c>
      <c r="AI68" s="25">
        <f t="shared" si="41"/>
        <v>62</v>
      </c>
      <c r="AJ68" s="26">
        <f t="shared" si="29"/>
        <v>46188</v>
      </c>
      <c r="AK68" s="27">
        <f t="shared" si="42"/>
        <v>44545454.545454711</v>
      </c>
      <c r="AL68" s="114">
        <f>IF(torlesztes="Egyedi",-SUMIFS(U$7:U$126,T$7:T$126,"&gt;"&amp;AJ67,T$7:T$126,"&lt;="&amp;AJ68),IFERROR(IF(torlesztes="Egyenlő tőke",IF(COUNT($AK$7:AK68)&gt;$D$15,"",-$AK$5/$D$15),0),""))</f>
        <v>-909090.90909090906</v>
      </c>
      <c r="AM68" s="27">
        <f t="shared" ca="1" si="30"/>
        <v>-471022.41594022588</v>
      </c>
      <c r="AN68" s="27">
        <f t="shared" si="19"/>
        <v>44545454.545454711</v>
      </c>
      <c r="AO68" s="27">
        <f>IF(torlesztes="Egyedi",-SUMIFS(U$7:U$126,T$7:T$126,"&gt;"&amp;AJ67,T$7:T$126,"&lt;="&amp;AJ68),IFERROR(IF(torlesztes="Egyenlő tőke",IF(COUNT($AN$7:AN68)&gt;$D$15,"",-$AK$5/$D$15),0),""))</f>
        <v>-909090.90909090906</v>
      </c>
      <c r="AP68" s="27">
        <f t="shared" si="31"/>
        <v>-56749.688667497096</v>
      </c>
      <c r="AR68" s="27">
        <f t="shared" ca="1" si="43"/>
        <v>414272.72727272881</v>
      </c>
      <c r="AS68" s="27">
        <f t="shared" ca="1" si="32"/>
        <v>336124.93448264361</v>
      </c>
      <c r="AT68" s="34">
        <f t="shared" si="44"/>
        <v>31</v>
      </c>
    </row>
    <row r="69" spans="1:46" x14ac:dyDescent="0.25">
      <c r="A69"/>
      <c r="E69"/>
      <c r="H69"/>
      <c r="I69"/>
      <c r="J69" s="33" t="b">
        <f t="shared" si="10"/>
        <v>0</v>
      </c>
      <c r="K69"/>
      <c r="L69" s="87"/>
      <c r="M69" s="86"/>
      <c r="N69" s="20" t="str">
        <f t="shared" si="23"/>
        <v/>
      </c>
      <c r="O69" s="9">
        <f t="shared" si="35"/>
        <v>0</v>
      </c>
      <c r="P69" s="9">
        <f t="shared" si="26"/>
        <v>0</v>
      </c>
      <c r="Q69" s="9">
        <f t="shared" si="27"/>
        <v>0</v>
      </c>
      <c r="R69" s="24" t="str">
        <f t="shared" si="28"/>
        <v/>
      </c>
      <c r="S69"/>
      <c r="T69" s="88"/>
      <c r="U69" s="86"/>
      <c r="V69" s="20" t="str">
        <f t="shared" si="11"/>
        <v/>
      </c>
      <c r="W69" s="9" t="str">
        <f t="shared" si="12"/>
        <v/>
      </c>
      <c r="X69" s="9" t="str">
        <f t="shared" ca="1" si="36"/>
        <v/>
      </c>
      <c r="Y69" s="9" t="str">
        <f t="shared" si="37"/>
        <v/>
      </c>
      <c r="Z69" s="9" t="str">
        <f t="shared" si="5"/>
        <v/>
      </c>
      <c r="AA69" s="74">
        <f t="shared" si="13"/>
        <v>46188</v>
      </c>
      <c r="AB69" s="35">
        <f t="shared" si="14"/>
        <v>0</v>
      </c>
      <c r="AC69" s="35">
        <f t="shared" si="15"/>
        <v>43636363.636363804</v>
      </c>
      <c r="AD69" s="15">
        <f t="shared" ca="1" si="38"/>
        <v>-446525.52926525701</v>
      </c>
      <c r="AE69" s="15">
        <f t="shared" si="39"/>
        <v>-53798.256537982772</v>
      </c>
      <c r="AF69" s="34">
        <f t="shared" si="40"/>
        <v>30</v>
      </c>
      <c r="AH69" s="34">
        <v>63</v>
      </c>
      <c r="AI69" s="25">
        <f t="shared" si="41"/>
        <v>63</v>
      </c>
      <c r="AJ69" s="26">
        <f t="shared" si="29"/>
        <v>46218</v>
      </c>
      <c r="AK69" s="27">
        <f t="shared" si="42"/>
        <v>43636363.636363804</v>
      </c>
      <c r="AL69" s="114">
        <f>IF(torlesztes="Egyedi",-SUMIFS(U$7:U$126,T$7:T$126,"&gt;"&amp;AJ68,T$7:T$126,"&lt;="&amp;AJ69),IFERROR(IF(torlesztes="Egyenlő tőke",IF(COUNT($AK$7:AK69)&gt;$D$15,"",-$AK$5/$D$15),0),""))</f>
        <v>-909090.90909090906</v>
      </c>
      <c r="AM69" s="27">
        <f t="shared" ca="1" si="30"/>
        <v>-446525.52926525701</v>
      </c>
      <c r="AN69" s="27">
        <f t="shared" si="19"/>
        <v>43636363.636363804</v>
      </c>
      <c r="AO69" s="27">
        <f>IF(torlesztes="Egyedi",-SUMIFS(U$7:U$126,T$7:T$126,"&gt;"&amp;AJ68,T$7:T$126,"&lt;="&amp;AJ69),IFERROR(IF(torlesztes="Egyenlő tőke",IF(COUNT($AN$7:AN69)&gt;$D$15,"",-$AK$5/$D$15),0),""))</f>
        <v>-909090.90909090906</v>
      </c>
      <c r="AP69" s="27">
        <f t="shared" si="31"/>
        <v>-53798.256537982772</v>
      </c>
      <c r="AR69" s="27">
        <f t="shared" ca="1" si="43"/>
        <v>392727.27272727422</v>
      </c>
      <c r="AS69" s="27">
        <f t="shared" ca="1" si="32"/>
        <v>317730.30788950948</v>
      </c>
      <c r="AT69" s="34">
        <f t="shared" si="44"/>
        <v>30</v>
      </c>
    </row>
    <row r="70" spans="1:46" x14ac:dyDescent="0.25">
      <c r="A70"/>
      <c r="E70"/>
      <c r="H70"/>
      <c r="I70"/>
      <c r="J70" s="33" t="b">
        <f t="shared" si="10"/>
        <v>0</v>
      </c>
      <c r="K70"/>
      <c r="L70" s="87"/>
      <c r="M70" s="86"/>
      <c r="N70" s="20" t="str">
        <f t="shared" si="23"/>
        <v/>
      </c>
      <c r="O70" s="9">
        <f t="shared" si="35"/>
        <v>0</v>
      </c>
      <c r="P70" s="9">
        <f t="shared" si="26"/>
        <v>0</v>
      </c>
      <c r="Q70" s="9">
        <f t="shared" si="27"/>
        <v>0</v>
      </c>
      <c r="R70" s="24" t="str">
        <f t="shared" si="28"/>
        <v/>
      </c>
      <c r="S70"/>
      <c r="T70" s="88"/>
      <c r="U70" s="86"/>
      <c r="V70" s="20" t="str">
        <f t="shared" si="11"/>
        <v/>
      </c>
      <c r="W70" s="9" t="str">
        <f t="shared" si="12"/>
        <v/>
      </c>
      <c r="X70" s="9" t="str">
        <f t="shared" ca="1" si="36"/>
        <v/>
      </c>
      <c r="Y70" s="9" t="str">
        <f t="shared" si="37"/>
        <v/>
      </c>
      <c r="Z70" s="9" t="str">
        <f t="shared" si="5"/>
        <v/>
      </c>
      <c r="AA70" s="74">
        <f t="shared" si="13"/>
        <v>46218</v>
      </c>
      <c r="AB70" s="35">
        <f t="shared" si="14"/>
        <v>0</v>
      </c>
      <c r="AC70" s="35">
        <f t="shared" si="15"/>
        <v>42727272.727272898</v>
      </c>
      <c r="AD70" s="15">
        <f t="shared" ca="1" si="38"/>
        <v>-451797.0112079719</v>
      </c>
      <c r="AE70" s="15">
        <f t="shared" si="39"/>
        <v>-54433.374844333965</v>
      </c>
      <c r="AF70" s="34">
        <f t="shared" si="40"/>
        <v>31</v>
      </c>
      <c r="AH70" s="34">
        <v>64</v>
      </c>
      <c r="AI70" s="25">
        <f t="shared" si="41"/>
        <v>64</v>
      </c>
      <c r="AJ70" s="26">
        <f t="shared" si="29"/>
        <v>46249</v>
      </c>
      <c r="AK70" s="27">
        <f t="shared" si="42"/>
        <v>42727272.727272898</v>
      </c>
      <c r="AL70" s="114">
        <f>IF(torlesztes="Egyedi",-SUMIFS(U$7:U$126,T$7:T$126,"&gt;"&amp;AJ69,T$7:T$126,"&lt;="&amp;AJ70),IFERROR(IF(torlesztes="Egyenlő tőke",IF(COUNT($AK$7:AK70)&gt;$D$15,"",-$AK$5/$D$15),0),""))</f>
        <v>-909090.90909090906</v>
      </c>
      <c r="AM70" s="27">
        <f t="shared" ca="1" si="30"/>
        <v>-451797.0112079719</v>
      </c>
      <c r="AN70" s="27">
        <f t="shared" si="19"/>
        <v>42727272.727272898</v>
      </c>
      <c r="AO70" s="27">
        <f>IF(torlesztes="Egyedi",-SUMIFS(U$7:U$126,T$7:T$126,"&gt;"&amp;AJ69,T$7:T$126,"&lt;="&amp;AJ70),IFERROR(IF(torlesztes="Egyenlő tőke",IF(COUNT($AN$7:AN70)&gt;$D$15,"",-$AK$5/$D$15),0),""))</f>
        <v>-909090.90909090906</v>
      </c>
      <c r="AP70" s="27">
        <f t="shared" si="31"/>
        <v>-54433.374844333965</v>
      </c>
      <c r="AR70" s="27">
        <f t="shared" ca="1" si="43"/>
        <v>397363.63636363792</v>
      </c>
      <c r="AS70" s="27">
        <f t="shared" ca="1" si="32"/>
        <v>320559.68160636449</v>
      </c>
      <c r="AT70" s="34">
        <f t="shared" si="44"/>
        <v>31</v>
      </c>
    </row>
    <row r="71" spans="1:46" x14ac:dyDescent="0.25">
      <c r="A71"/>
      <c r="E71"/>
      <c r="H71"/>
      <c r="I71"/>
      <c r="J71" s="33" t="b">
        <f t="shared" si="10"/>
        <v>0</v>
      </c>
      <c r="K71"/>
      <c r="L71" s="87"/>
      <c r="M71" s="86"/>
      <c r="N71" s="20" t="str">
        <f t="shared" si="23"/>
        <v/>
      </c>
      <c r="O71" s="9">
        <f t="shared" si="35"/>
        <v>0</v>
      </c>
      <c r="P71" s="9">
        <f t="shared" ref="P71:P102" si="45">IF(AND(ISBLANK(L70),AH71&lt;&gt;1),0,IFERROR(-O71*piacikamat/365*(IF(ISBLANK(L71),$C$27,L71)-N71),""))</f>
        <v>0</v>
      </c>
      <c r="Q71" s="9">
        <f t="shared" ref="Q71:Q102" si="46">IF(AND(ISBLANK(L70),AH71&lt;&gt;1),0,IFERROR(-O71*tenylegeskamat/365*(IF(ISBLANK(L71),$C$27,L71)-N71),""))</f>
        <v>0</v>
      </c>
      <c r="R71" s="24" t="str">
        <f t="shared" ref="R71:R102" si="47">IFERROR(IF(ISBLANK(L71),$C$27,L71)-N71,"")</f>
        <v/>
      </c>
      <c r="S71"/>
      <c r="T71" s="88"/>
      <c r="U71" s="86"/>
      <c r="V71" s="20" t="str">
        <f t="shared" si="11"/>
        <v/>
      </c>
      <c r="W71" s="9" t="str">
        <f t="shared" si="12"/>
        <v/>
      </c>
      <c r="X71" s="9" t="str">
        <f t="shared" ca="1" si="36"/>
        <v/>
      </c>
      <c r="Y71" s="9" t="str">
        <f t="shared" si="37"/>
        <v/>
      </c>
      <c r="Z71" s="9" t="str">
        <f t="shared" ref="Z71:Z126" si="48">IFERROR(T71-V71,"")</f>
        <v/>
      </c>
      <c r="AA71" s="74">
        <f t="shared" si="13"/>
        <v>46249</v>
      </c>
      <c r="AB71" s="35">
        <f t="shared" si="14"/>
        <v>0</v>
      </c>
      <c r="AC71" s="35">
        <f t="shared" si="15"/>
        <v>41818181.818181992</v>
      </c>
      <c r="AD71" s="15">
        <f t="shared" ca="1" si="38"/>
        <v>-442184.3088418449</v>
      </c>
      <c r="AE71" s="15">
        <f t="shared" si="39"/>
        <v>-53275.217932752399</v>
      </c>
      <c r="AF71" s="34">
        <f t="shared" si="40"/>
        <v>31</v>
      </c>
      <c r="AH71" s="34">
        <v>65</v>
      </c>
      <c r="AI71" s="25">
        <f t="shared" si="41"/>
        <v>65</v>
      </c>
      <c r="AJ71" s="26">
        <f t="shared" si="29"/>
        <v>46280</v>
      </c>
      <c r="AK71" s="27">
        <f t="shared" si="42"/>
        <v>41818181.818181992</v>
      </c>
      <c r="AL71" s="114">
        <f>IF(torlesztes="Egyedi",-SUMIFS(U$7:U$126,T$7:T$126,"&gt;"&amp;AJ70,T$7:T$126,"&lt;="&amp;AJ71),IFERROR(IF(torlesztes="Egyenlő tőke",IF(COUNT($AK$7:AK71)&gt;$D$15,"",-$AK$5/$D$15),0),""))</f>
        <v>-909090.90909090906</v>
      </c>
      <c r="AM71" s="27">
        <f t="shared" ca="1" si="30"/>
        <v>-442184.3088418449</v>
      </c>
      <c r="AN71" s="27">
        <f t="shared" si="19"/>
        <v>41818181.818181992</v>
      </c>
      <c r="AO71" s="27">
        <f>IF(torlesztes="Egyedi",-SUMIFS(U$7:U$126,T$7:T$126,"&gt;"&amp;AJ70,T$7:T$126,"&lt;="&amp;AJ71),IFERROR(IF(torlesztes="Egyenlő tőke",IF(COUNT($AN$7:AN71)&gt;$D$15,"",-$AK$5/$D$15),0),""))</f>
        <v>-909090.90909090906</v>
      </c>
      <c r="AP71" s="27">
        <f t="shared" si="31"/>
        <v>-53275.217932752399</v>
      </c>
      <c r="AR71" s="27">
        <f t="shared" ca="1" si="43"/>
        <v>388909.09090909251</v>
      </c>
      <c r="AS71" s="27">
        <f t="shared" ca="1" si="32"/>
        <v>312839.84828496317</v>
      </c>
      <c r="AT71" s="34">
        <f t="shared" si="44"/>
        <v>31</v>
      </c>
    </row>
    <row r="72" spans="1:46" x14ac:dyDescent="0.25">
      <c r="A72"/>
      <c r="E72"/>
      <c r="H72"/>
      <c r="I72"/>
      <c r="J72" s="33" t="b">
        <f t="shared" ref="J72:J126" si="49">AI72&gt;$D$15</f>
        <v>0</v>
      </c>
      <c r="K72"/>
      <c r="L72" s="87"/>
      <c r="M72" s="86"/>
      <c r="N72" s="20" t="str">
        <f t="shared" si="23"/>
        <v/>
      </c>
      <c r="O72" s="9">
        <f t="shared" si="35"/>
        <v>0</v>
      </c>
      <c r="P72" s="9">
        <f t="shared" si="45"/>
        <v>0</v>
      </c>
      <c r="Q72" s="9">
        <f t="shared" si="46"/>
        <v>0</v>
      </c>
      <c r="R72" s="24" t="str">
        <f t="shared" si="47"/>
        <v/>
      </c>
      <c r="S72"/>
      <c r="T72" s="88"/>
      <c r="U72" s="86"/>
      <c r="V72" s="20" t="str">
        <f t="shared" ref="V72:V126" si="50">IF(ISNA(MAX(T71,INDEX(AJ$6:AJ$126,MATCH(T72-1,AJ$6:AJ$126,1)))),"",MAX(T71,INDEX(AJ$6:AJ$126,MATCH(T72-1,AJ$6:AJ$126,1))))</f>
        <v/>
      </c>
      <c r="W72" s="9" t="str">
        <f t="shared" ref="W72:W126" si="51">IF(ISNA(MIN(IF(OR(ISBLANK(W71),W71=""),INDEX(AK$7:AK$126,MATCH(T72,AJ$7:AJ$126,1)),W71-U71),INDEX(AK$7:AK$126,MATCH(T72,AJ$7:AJ$126,1)))),"",MIN(IF(OR(ISBLANK(W71),W71=""),INDEX(AK$7:AK$126,MATCH(T72,AJ$7:AJ$126,1)),W71-U71),INDEX(AK$7:AK$126,MATCH(T72,AJ$7:AJ$126,1))))</f>
        <v/>
      </c>
      <c r="X72" s="9" t="str">
        <f t="shared" ca="1" si="36"/>
        <v/>
      </c>
      <c r="Y72" s="9" t="str">
        <f t="shared" si="37"/>
        <v/>
      </c>
      <c r="Z72" s="9" t="str">
        <f t="shared" si="48"/>
        <v/>
      </c>
      <c r="AA72" s="74">
        <f t="shared" ref="AA72:AA126" si="52">MAX(AJ71,IF(ISNA(INDEX(T$7:T$126,MATCH(AJ72,T$7:T$126,1))),0,INDEX(T$7:T$126,MATCH(AJ72,T$7:T$126,1))))</f>
        <v>46280</v>
      </c>
      <c r="AB72" s="35">
        <f t="shared" ref="AB72:AB126" si="53">IF(ISNA(INDEX(U$7:U$126,MATCH(AJ72,T$7:T$126,1))),0,INDEX(U$7:U$126,MATCH(AJ72,T$7:T$126,1)))</f>
        <v>0</v>
      </c>
      <c r="AC72" s="35">
        <f t="shared" ref="AC72:AC126" si="54">IF(ISNA(INDEX(W$7:W$126,MATCH(AJ72,T$7:T$126,1))),AK72,INDEX(W$7:W$126,MATCH(AJ72,T$7:T$126,1)))</f>
        <v>40909090.909091085</v>
      </c>
      <c r="AD72" s="15">
        <f t="shared" ca="1" si="38"/>
        <v>-418617.68368617859</v>
      </c>
      <c r="AE72" s="15">
        <f t="shared" si="39"/>
        <v>-50435.865504358866</v>
      </c>
      <c r="AF72" s="34">
        <f t="shared" si="40"/>
        <v>30</v>
      </c>
      <c r="AH72" s="34">
        <v>66</v>
      </c>
      <c r="AI72" s="25">
        <f t="shared" si="41"/>
        <v>66</v>
      </c>
      <c r="AJ72" s="26">
        <f t="shared" ref="AJ72:AJ103" si="55">IF(OR(AJ71=$C$28,AJ71=""),"",IFERROR(IF(EDATE($C$27,(AH72-1)*12/$D$19)&lt;=$C$28,EDATE($C$27,(AH72-1)*12/$D$19),$C$28),""))</f>
        <v>46310</v>
      </c>
      <c r="AK72" s="27">
        <f t="shared" si="42"/>
        <v>40909090.909091085</v>
      </c>
      <c r="AL72" s="114">
        <f>IF(torlesztes="Egyedi",-SUMIFS(U$7:U$126,T$7:T$126,"&gt;"&amp;AJ71,T$7:T$126,"&lt;="&amp;AJ72),IFERROR(IF(torlesztes="Egyenlő tőke",IF(COUNT($AK$7:AK72)&gt;$D$15,"",-$AK$5/$D$15),0),""))</f>
        <v>-909090.90909090906</v>
      </c>
      <c r="AM72" s="27">
        <f t="shared" ref="AM72:AM103" ca="1" si="56">IF(torlesztes="Egyedi",SUMIFS(X$7:X$126,T$7:T$126,"&gt;"&amp;AJ71,T$7:T$126,"&lt;="&amp;AJ72)+AD72,IFERROR(-AK72*piacikamat/365*(AJ72-AJ71),""))</f>
        <v>-418617.68368617859</v>
      </c>
      <c r="AN72" s="27">
        <f t="shared" ref="AN72:AN126" si="57">+IF(COUNT(AN71)&lt;&gt;0,SUM(AN71:AO71)*(1-J72),"")</f>
        <v>40909090.909091085</v>
      </c>
      <c r="AO72" s="27">
        <f>IF(torlesztes="Egyedi",-SUMIFS(U$7:U$126,T$7:T$126,"&gt;"&amp;AJ71,T$7:T$126,"&lt;="&amp;AJ72),IFERROR(IF(torlesztes="Egyenlő tőke",IF(COUNT($AN$7:AN72)&gt;$D$15,"",-$AK$5/$D$15),0),""))</f>
        <v>-909090.90909090906</v>
      </c>
      <c r="AP72" s="27">
        <f t="shared" ref="AP72:AP103" si="58">IF(torlesztes="Egyedi",SUMIFS(Y$7:Y$126,T$7:T$126,"&gt;"&amp;AJ71,T$7:T$126,"&lt;="&amp;AJ72)+AE72,IFERROR(-AN72*tenylegeskamat/365*(AJ72-AJ71),""))</f>
        <v>-50435.865504358866</v>
      </c>
      <c r="AR72" s="27">
        <f t="shared" ca="1" si="43"/>
        <v>368181.81818181975</v>
      </c>
      <c r="AS72" s="27">
        <f t="shared" ref="AS72:AS103" ca="1" si="59">IFERROR(AR72/POWER(1+($C$11+1%)/$D$19,AI72-1)/(1+($C$11+1%)/365*($AJ$7-$C$25)),"")</f>
        <v>295317.71835125505</v>
      </c>
      <c r="AT72" s="34">
        <f t="shared" si="44"/>
        <v>30</v>
      </c>
    </row>
    <row r="73" spans="1:46" x14ac:dyDescent="0.25">
      <c r="A73"/>
      <c r="E73"/>
      <c r="H73"/>
      <c r="I73"/>
      <c r="J73" s="33" t="b">
        <f t="shared" si="49"/>
        <v>0</v>
      </c>
      <c r="K73"/>
      <c r="L73" s="87"/>
      <c r="M73" s="86"/>
      <c r="N73" s="20" t="str">
        <f t="shared" ref="N73:N126" si="60">IF(ISBLANK(L72),"",L72)</f>
        <v/>
      </c>
      <c r="O73" s="9">
        <f t="shared" si="35"/>
        <v>0</v>
      </c>
      <c r="P73" s="9">
        <f t="shared" si="45"/>
        <v>0</v>
      </c>
      <c r="Q73" s="9">
        <f t="shared" si="46"/>
        <v>0</v>
      </c>
      <c r="R73" s="24" t="str">
        <f t="shared" si="47"/>
        <v/>
      </c>
      <c r="S73"/>
      <c r="T73" s="88"/>
      <c r="U73" s="86"/>
      <c r="V73" s="20" t="str">
        <f t="shared" si="50"/>
        <v/>
      </c>
      <c r="W73" s="9" t="str">
        <f t="shared" si="51"/>
        <v/>
      </c>
      <c r="X73" s="9" t="str">
        <f t="shared" ca="1" si="36"/>
        <v/>
      </c>
      <c r="Y73" s="9" t="str">
        <f t="shared" si="37"/>
        <v/>
      </c>
      <c r="Z73" s="9" t="str">
        <f t="shared" si="48"/>
        <v/>
      </c>
      <c r="AA73" s="74">
        <f t="shared" si="52"/>
        <v>46310</v>
      </c>
      <c r="AB73" s="35">
        <f t="shared" si="53"/>
        <v>0</v>
      </c>
      <c r="AC73" s="35">
        <f t="shared" si="54"/>
        <v>40000000.000000179</v>
      </c>
      <c r="AD73" s="15">
        <f t="shared" ca="1" si="38"/>
        <v>-422958.90410959092</v>
      </c>
      <c r="AE73" s="15">
        <f t="shared" si="39"/>
        <v>-50958.904109589268</v>
      </c>
      <c r="AF73" s="34">
        <f t="shared" si="40"/>
        <v>31</v>
      </c>
      <c r="AH73" s="34">
        <v>67</v>
      </c>
      <c r="AI73" s="25">
        <f t="shared" si="41"/>
        <v>67</v>
      </c>
      <c r="AJ73" s="26">
        <f t="shared" si="55"/>
        <v>46341</v>
      </c>
      <c r="AK73" s="27">
        <f t="shared" si="42"/>
        <v>40000000.000000179</v>
      </c>
      <c r="AL73" s="114">
        <f>IF(torlesztes="Egyedi",-SUMIFS(U$7:U$126,T$7:T$126,"&gt;"&amp;AJ72,T$7:T$126,"&lt;="&amp;AJ73),IFERROR(IF(torlesztes="Egyenlő tőke",IF(COUNT($AK$7:AK73)&gt;$D$15,"",-$AK$5/$D$15),0),""))</f>
        <v>-909090.90909090906</v>
      </c>
      <c r="AM73" s="27">
        <f t="shared" ca="1" si="56"/>
        <v>-422958.90410959092</v>
      </c>
      <c r="AN73" s="27">
        <f t="shared" si="57"/>
        <v>40000000.000000179</v>
      </c>
      <c r="AO73" s="27">
        <f>IF(torlesztes="Egyedi",-SUMIFS(U$7:U$126,T$7:T$126,"&gt;"&amp;AJ72,T$7:T$126,"&lt;="&amp;AJ73),IFERROR(IF(torlesztes="Egyenlő tőke",IF(COUNT($AN$7:AN73)&gt;$D$15,"",-$AK$5/$D$15),0),""))</f>
        <v>-909090.90909090906</v>
      </c>
      <c r="AP73" s="27">
        <f t="shared" si="58"/>
        <v>-50958.904109589268</v>
      </c>
      <c r="AR73" s="27">
        <f t="shared" ca="1" si="43"/>
        <v>372000.00000000163</v>
      </c>
      <c r="AS73" s="27">
        <f t="shared" ca="1" si="59"/>
        <v>297524.88841330208</v>
      </c>
      <c r="AT73" s="34">
        <f t="shared" si="44"/>
        <v>31</v>
      </c>
    </row>
    <row r="74" spans="1:46" x14ac:dyDescent="0.25">
      <c r="A74"/>
      <c r="E74"/>
      <c r="H74"/>
      <c r="I74"/>
      <c r="J74" s="33" t="b">
        <f t="shared" si="49"/>
        <v>0</v>
      </c>
      <c r="K74"/>
      <c r="L74" s="87"/>
      <c r="M74" s="86"/>
      <c r="N74" s="20" t="str">
        <f t="shared" si="60"/>
        <v/>
      </c>
      <c r="O74" s="9">
        <f t="shared" si="35"/>
        <v>0</v>
      </c>
      <c r="P74" s="9">
        <f t="shared" si="45"/>
        <v>0</v>
      </c>
      <c r="Q74" s="9">
        <f t="shared" si="46"/>
        <v>0</v>
      </c>
      <c r="R74" s="24" t="str">
        <f t="shared" si="47"/>
        <v/>
      </c>
      <c r="S74"/>
      <c r="T74" s="88"/>
      <c r="U74" s="86"/>
      <c r="V74" s="20" t="str">
        <f t="shared" si="50"/>
        <v/>
      </c>
      <c r="W74" s="9" t="str">
        <f t="shared" si="51"/>
        <v/>
      </c>
      <c r="X74" s="9" t="str">
        <f t="shared" ca="1" si="36"/>
        <v/>
      </c>
      <c r="Y74" s="9" t="str">
        <f t="shared" si="37"/>
        <v/>
      </c>
      <c r="Z74" s="9" t="str">
        <f t="shared" si="48"/>
        <v/>
      </c>
      <c r="AA74" s="74">
        <f t="shared" si="52"/>
        <v>46341</v>
      </c>
      <c r="AB74" s="35">
        <f t="shared" si="53"/>
        <v>0</v>
      </c>
      <c r="AC74" s="35">
        <f t="shared" si="54"/>
        <v>39090909.090909272</v>
      </c>
      <c r="AD74" s="15">
        <f t="shared" ca="1" si="38"/>
        <v>-400012.45330012636</v>
      </c>
      <c r="AE74" s="15">
        <f t="shared" si="39"/>
        <v>-48194.271481942931</v>
      </c>
      <c r="AF74" s="34">
        <f t="shared" si="40"/>
        <v>30</v>
      </c>
      <c r="AH74" s="34">
        <v>68</v>
      </c>
      <c r="AI74" s="25">
        <f t="shared" si="41"/>
        <v>68</v>
      </c>
      <c r="AJ74" s="26">
        <f t="shared" si="55"/>
        <v>46371</v>
      </c>
      <c r="AK74" s="27">
        <f t="shared" si="42"/>
        <v>39090909.090909272</v>
      </c>
      <c r="AL74" s="114">
        <f>IF(torlesztes="Egyedi",-SUMIFS(U$7:U$126,T$7:T$126,"&gt;"&amp;AJ73,T$7:T$126,"&lt;="&amp;AJ74),IFERROR(IF(torlesztes="Egyenlő tőke",IF(COUNT($AK$7:AK74)&gt;$D$15,"",-$AK$5/$D$15),0),""))</f>
        <v>-909090.90909090906</v>
      </c>
      <c r="AM74" s="27">
        <f t="shared" ca="1" si="56"/>
        <v>-400012.45330012636</v>
      </c>
      <c r="AN74" s="27">
        <f t="shared" si="57"/>
        <v>39090909.090909272</v>
      </c>
      <c r="AO74" s="27">
        <f>IF(torlesztes="Egyedi",-SUMIFS(U$7:U$126,T$7:T$126,"&gt;"&amp;AJ73,T$7:T$126,"&lt;="&amp;AJ74),IFERROR(IF(torlesztes="Egyenlő tőke",IF(COUNT($AN$7:AN74)&gt;$D$15,"",-$AK$5/$D$15),0),""))</f>
        <v>-909090.90909090906</v>
      </c>
      <c r="AP74" s="27">
        <f t="shared" si="58"/>
        <v>-48194.271481942931</v>
      </c>
      <c r="AR74" s="27">
        <f t="shared" ca="1" si="43"/>
        <v>351818.18181818345</v>
      </c>
      <c r="AS74" s="27">
        <f t="shared" ca="1" si="59"/>
        <v>280576.85039175116</v>
      </c>
      <c r="AT74" s="34">
        <f t="shared" si="44"/>
        <v>30</v>
      </c>
    </row>
    <row r="75" spans="1:46" x14ac:dyDescent="0.25">
      <c r="A75"/>
      <c r="E75"/>
      <c r="H75"/>
      <c r="I75"/>
      <c r="J75" s="33" t="b">
        <f t="shared" si="49"/>
        <v>0</v>
      </c>
      <c r="K75"/>
      <c r="L75" s="87"/>
      <c r="M75" s="86"/>
      <c r="N75" s="20" t="str">
        <f t="shared" si="60"/>
        <v/>
      </c>
      <c r="O75" s="9">
        <f t="shared" si="35"/>
        <v>0</v>
      </c>
      <c r="P75" s="9">
        <f t="shared" si="45"/>
        <v>0</v>
      </c>
      <c r="Q75" s="9">
        <f t="shared" si="46"/>
        <v>0</v>
      </c>
      <c r="R75" s="24" t="str">
        <f t="shared" si="47"/>
        <v/>
      </c>
      <c r="S75"/>
      <c r="T75" s="88"/>
      <c r="U75" s="86"/>
      <c r="V75" s="20" t="str">
        <f t="shared" si="50"/>
        <v/>
      </c>
      <c r="W75" s="9" t="str">
        <f t="shared" si="51"/>
        <v/>
      </c>
      <c r="X75" s="9" t="str">
        <f t="shared" ca="1" si="36"/>
        <v/>
      </c>
      <c r="Y75" s="9" t="str">
        <f t="shared" si="37"/>
        <v/>
      </c>
      <c r="Z75" s="9" t="str">
        <f t="shared" si="48"/>
        <v/>
      </c>
      <c r="AA75" s="74">
        <f t="shared" si="52"/>
        <v>46371</v>
      </c>
      <c r="AB75" s="35">
        <f t="shared" si="53"/>
        <v>0</v>
      </c>
      <c r="AC75" s="35">
        <f t="shared" si="54"/>
        <v>38181818.181818366</v>
      </c>
      <c r="AD75" s="15">
        <f t="shared" ca="1" si="38"/>
        <v>-403733.49937733694</v>
      </c>
      <c r="AE75" s="15">
        <f t="shared" si="39"/>
        <v>-48642.590286426144</v>
      </c>
      <c r="AF75" s="34">
        <f t="shared" si="40"/>
        <v>31</v>
      </c>
      <c r="AH75" s="34">
        <v>69</v>
      </c>
      <c r="AI75" s="25">
        <f t="shared" si="41"/>
        <v>69</v>
      </c>
      <c r="AJ75" s="26">
        <f t="shared" si="55"/>
        <v>46402</v>
      </c>
      <c r="AK75" s="27">
        <f t="shared" si="42"/>
        <v>38181818.181818366</v>
      </c>
      <c r="AL75" s="114">
        <f>IF(torlesztes="Egyedi",-SUMIFS(U$7:U$126,T$7:T$126,"&gt;"&amp;AJ74,T$7:T$126,"&lt;="&amp;AJ75),IFERROR(IF(torlesztes="Egyenlő tőke",IF(COUNT($AK$7:AK75)&gt;$D$15,"",-$AK$5/$D$15),0),""))</f>
        <v>-909090.90909090906</v>
      </c>
      <c r="AM75" s="27">
        <f t="shared" ca="1" si="56"/>
        <v>-403733.49937733694</v>
      </c>
      <c r="AN75" s="27">
        <f t="shared" si="57"/>
        <v>38181818.181818366</v>
      </c>
      <c r="AO75" s="27">
        <f>IF(torlesztes="Egyedi",-SUMIFS(U$7:U$126,T$7:T$126,"&gt;"&amp;AJ74,T$7:T$126,"&lt;="&amp;AJ75),IFERROR(IF(torlesztes="Egyenlő tőke",IF(COUNT($AN$7:AN75)&gt;$D$15,"",-$AK$5/$D$15),0),""))</f>
        <v>-909090.90909090906</v>
      </c>
      <c r="AP75" s="27">
        <f t="shared" si="58"/>
        <v>-48642.590286426144</v>
      </c>
      <c r="AR75" s="27">
        <f t="shared" ca="1" si="43"/>
        <v>355090.90909091081</v>
      </c>
      <c r="AS75" s="27">
        <f t="shared" ca="1" si="59"/>
        <v>282375.03936651896</v>
      </c>
      <c r="AT75" s="34">
        <f t="shared" si="44"/>
        <v>31</v>
      </c>
    </row>
    <row r="76" spans="1:46" x14ac:dyDescent="0.25">
      <c r="A76"/>
      <c r="E76"/>
      <c r="H76"/>
      <c r="I76"/>
      <c r="J76" s="33" t="b">
        <f t="shared" si="49"/>
        <v>0</v>
      </c>
      <c r="K76"/>
      <c r="L76" s="87"/>
      <c r="M76" s="86"/>
      <c r="N76" s="20" t="str">
        <f t="shared" si="60"/>
        <v/>
      </c>
      <c r="O76" s="9">
        <f t="shared" si="35"/>
        <v>0</v>
      </c>
      <c r="P76" s="9">
        <f t="shared" si="45"/>
        <v>0</v>
      </c>
      <c r="Q76" s="9">
        <f t="shared" si="46"/>
        <v>0</v>
      </c>
      <c r="R76" s="24" t="str">
        <f t="shared" si="47"/>
        <v/>
      </c>
      <c r="S76"/>
      <c r="T76" s="88"/>
      <c r="U76" s="86"/>
      <c r="V76" s="20" t="str">
        <f t="shared" si="50"/>
        <v/>
      </c>
      <c r="W76" s="9" t="str">
        <f t="shared" si="51"/>
        <v/>
      </c>
      <c r="X76" s="9" t="str">
        <f t="shared" ca="1" si="36"/>
        <v/>
      </c>
      <c r="Y76" s="9" t="str">
        <f t="shared" si="37"/>
        <v/>
      </c>
      <c r="Z76" s="9" t="str">
        <f t="shared" si="48"/>
        <v/>
      </c>
      <c r="AA76" s="74">
        <f t="shared" si="52"/>
        <v>46402</v>
      </c>
      <c r="AB76" s="35">
        <f t="shared" si="53"/>
        <v>0</v>
      </c>
      <c r="AC76" s="35">
        <f t="shared" si="54"/>
        <v>37272727.27272746</v>
      </c>
      <c r="AD76" s="15">
        <f t="shared" ca="1" si="38"/>
        <v>-394120.79701121</v>
      </c>
      <c r="AE76" s="15">
        <f t="shared" si="39"/>
        <v>-47484.433374844564</v>
      </c>
      <c r="AF76" s="34">
        <f t="shared" si="40"/>
        <v>31</v>
      </c>
      <c r="AH76" s="34">
        <v>70</v>
      </c>
      <c r="AI76" s="25">
        <f t="shared" si="41"/>
        <v>70</v>
      </c>
      <c r="AJ76" s="26">
        <f t="shared" si="55"/>
        <v>46433</v>
      </c>
      <c r="AK76" s="27">
        <f t="shared" si="42"/>
        <v>37272727.27272746</v>
      </c>
      <c r="AL76" s="114">
        <f>IF(torlesztes="Egyedi",-SUMIFS(U$7:U$126,T$7:T$126,"&gt;"&amp;AJ75,T$7:T$126,"&lt;="&amp;AJ76),IFERROR(IF(torlesztes="Egyenlő tőke",IF(COUNT($AK$7:AK76)&gt;$D$15,"",-$AK$5/$D$15),0),""))</f>
        <v>-909090.90909090906</v>
      </c>
      <c r="AM76" s="27">
        <f t="shared" ca="1" si="56"/>
        <v>-394120.79701121</v>
      </c>
      <c r="AN76" s="27">
        <f t="shared" si="57"/>
        <v>37272727.27272746</v>
      </c>
      <c r="AO76" s="27">
        <f>IF(torlesztes="Egyedi",-SUMIFS(U$7:U$126,T$7:T$126,"&gt;"&amp;AJ75,T$7:T$126,"&lt;="&amp;AJ76),IFERROR(IF(torlesztes="Egyenlő tőke",IF(COUNT($AN$7:AN76)&gt;$D$15,"",-$AK$5/$D$15),0),""))</f>
        <v>-909090.90909090906</v>
      </c>
      <c r="AP76" s="27">
        <f t="shared" si="58"/>
        <v>-47484.433374844564</v>
      </c>
      <c r="AR76" s="27">
        <f t="shared" ca="1" si="43"/>
        <v>346636.36363636545</v>
      </c>
      <c r="AS76" s="27">
        <f t="shared" ca="1" si="59"/>
        <v>274861.5970519823</v>
      </c>
      <c r="AT76" s="34">
        <f t="shared" si="44"/>
        <v>31</v>
      </c>
    </row>
    <row r="77" spans="1:46" x14ac:dyDescent="0.25">
      <c r="A77"/>
      <c r="E77"/>
      <c r="H77"/>
      <c r="I77"/>
      <c r="J77" s="33" t="b">
        <f t="shared" si="49"/>
        <v>0</v>
      </c>
      <c r="K77"/>
      <c r="L77" s="87"/>
      <c r="M77" s="86"/>
      <c r="N77" s="20" t="str">
        <f t="shared" si="60"/>
        <v/>
      </c>
      <c r="O77" s="9">
        <f t="shared" si="35"/>
        <v>0</v>
      </c>
      <c r="P77" s="9">
        <f t="shared" si="45"/>
        <v>0</v>
      </c>
      <c r="Q77" s="9">
        <f t="shared" si="46"/>
        <v>0</v>
      </c>
      <c r="R77" s="24" t="str">
        <f t="shared" si="47"/>
        <v/>
      </c>
      <c r="S77"/>
      <c r="T77" s="88"/>
      <c r="U77" s="86"/>
      <c r="V77" s="20" t="str">
        <f t="shared" si="50"/>
        <v/>
      </c>
      <c r="W77" s="9" t="str">
        <f t="shared" si="51"/>
        <v/>
      </c>
      <c r="X77" s="9" t="str">
        <f t="shared" ca="1" si="36"/>
        <v/>
      </c>
      <c r="Y77" s="9" t="str">
        <f t="shared" si="37"/>
        <v/>
      </c>
      <c r="Z77" s="9" t="str">
        <f t="shared" si="48"/>
        <v/>
      </c>
      <c r="AA77" s="74">
        <f t="shared" si="52"/>
        <v>46433</v>
      </c>
      <c r="AB77" s="35">
        <f t="shared" si="53"/>
        <v>0</v>
      </c>
      <c r="AC77" s="35">
        <f t="shared" si="54"/>
        <v>36363636.363636553</v>
      </c>
      <c r="AD77" s="15">
        <f t="shared" ca="1" si="38"/>
        <v>-347297.63387297816</v>
      </c>
      <c r="AE77" s="15">
        <f t="shared" si="39"/>
        <v>-41843.088418431107</v>
      </c>
      <c r="AF77" s="34">
        <f t="shared" si="40"/>
        <v>28</v>
      </c>
      <c r="AH77" s="34">
        <v>71</v>
      </c>
      <c r="AI77" s="25">
        <f t="shared" si="41"/>
        <v>71</v>
      </c>
      <c r="AJ77" s="26">
        <f t="shared" si="55"/>
        <v>46461</v>
      </c>
      <c r="AK77" s="27">
        <f t="shared" si="42"/>
        <v>36363636.363636553</v>
      </c>
      <c r="AL77" s="114">
        <f>IF(torlesztes="Egyedi",-SUMIFS(U$7:U$126,T$7:T$126,"&gt;"&amp;AJ76,T$7:T$126,"&lt;="&amp;AJ77),IFERROR(IF(torlesztes="Egyenlő tőke",IF(COUNT($AK$7:AK77)&gt;$D$15,"",-$AK$5/$D$15),0),""))</f>
        <v>-909090.90909090906</v>
      </c>
      <c r="AM77" s="27">
        <f t="shared" ca="1" si="56"/>
        <v>-347297.63387297816</v>
      </c>
      <c r="AN77" s="27">
        <f t="shared" si="57"/>
        <v>36363636.363636553</v>
      </c>
      <c r="AO77" s="27">
        <f>IF(torlesztes="Egyedi",-SUMIFS(U$7:U$126,T$7:T$126,"&gt;"&amp;AJ76,T$7:T$126,"&lt;="&amp;AJ77),IFERROR(IF(torlesztes="Egyenlő tőke",IF(COUNT($AN$7:AN77)&gt;$D$15,"",-$AK$5/$D$15),0),""))</f>
        <v>-909090.90909090906</v>
      </c>
      <c r="AP77" s="27">
        <f t="shared" si="58"/>
        <v>-41843.088418431107</v>
      </c>
      <c r="AR77" s="27">
        <f t="shared" ca="1" si="43"/>
        <v>305454.54545454704</v>
      </c>
      <c r="AS77" s="27">
        <f t="shared" ca="1" si="59"/>
        <v>241512.56616238554</v>
      </c>
      <c r="AT77" s="34">
        <f t="shared" si="44"/>
        <v>28</v>
      </c>
    </row>
    <row r="78" spans="1:46" x14ac:dyDescent="0.25">
      <c r="A78"/>
      <c r="E78"/>
      <c r="H78"/>
      <c r="I78"/>
      <c r="J78" s="33" t="b">
        <f t="shared" si="49"/>
        <v>0</v>
      </c>
      <c r="K78"/>
      <c r="L78" s="87"/>
      <c r="M78" s="86"/>
      <c r="N78" s="20" t="str">
        <f t="shared" si="60"/>
        <v/>
      </c>
      <c r="O78" s="9">
        <f t="shared" si="35"/>
        <v>0</v>
      </c>
      <c r="P78" s="9">
        <f t="shared" si="45"/>
        <v>0</v>
      </c>
      <c r="Q78" s="9">
        <f t="shared" si="46"/>
        <v>0</v>
      </c>
      <c r="R78" s="24" t="str">
        <f t="shared" si="47"/>
        <v/>
      </c>
      <c r="S78"/>
      <c r="T78" s="88"/>
      <c r="U78" s="86"/>
      <c r="V78" s="20" t="str">
        <f t="shared" si="50"/>
        <v/>
      </c>
      <c r="W78" s="9" t="str">
        <f t="shared" si="51"/>
        <v/>
      </c>
      <c r="X78" s="9" t="str">
        <f t="shared" ca="1" si="36"/>
        <v/>
      </c>
      <c r="Y78" s="9" t="str">
        <f t="shared" si="37"/>
        <v/>
      </c>
      <c r="Z78" s="9" t="str">
        <f t="shared" si="48"/>
        <v/>
      </c>
      <c r="AA78" s="74">
        <f t="shared" si="52"/>
        <v>46461</v>
      </c>
      <c r="AB78" s="35">
        <f t="shared" si="53"/>
        <v>0</v>
      </c>
      <c r="AC78" s="35">
        <f t="shared" si="54"/>
        <v>35454545.454545647</v>
      </c>
      <c r="AD78" s="15">
        <f t="shared" ca="1" si="38"/>
        <v>-374895.39227895602</v>
      </c>
      <c r="AE78" s="15">
        <f t="shared" si="39"/>
        <v>-45168.119551681433</v>
      </c>
      <c r="AF78" s="34">
        <f t="shared" si="40"/>
        <v>31</v>
      </c>
      <c r="AH78" s="34">
        <v>72</v>
      </c>
      <c r="AI78" s="25">
        <f t="shared" si="41"/>
        <v>72</v>
      </c>
      <c r="AJ78" s="26">
        <f t="shared" si="55"/>
        <v>46492</v>
      </c>
      <c r="AK78" s="27">
        <f t="shared" si="42"/>
        <v>35454545.454545647</v>
      </c>
      <c r="AL78" s="114">
        <f>IF(torlesztes="Egyedi",-SUMIFS(U$7:U$126,T$7:T$126,"&gt;"&amp;AJ77,T$7:T$126,"&lt;="&amp;AJ78),IFERROR(IF(torlesztes="Egyenlő tőke",IF(COUNT($AK$7:AK78)&gt;$D$15,"",-$AK$5/$D$15),0),""))</f>
        <v>-909090.90909090906</v>
      </c>
      <c r="AM78" s="27">
        <f t="shared" ca="1" si="56"/>
        <v>-374895.39227895602</v>
      </c>
      <c r="AN78" s="27">
        <f t="shared" si="57"/>
        <v>35454545.454545647</v>
      </c>
      <c r="AO78" s="27">
        <f>IF(torlesztes="Egyedi",-SUMIFS(U$7:U$126,T$7:T$126,"&gt;"&amp;AJ77,T$7:T$126,"&lt;="&amp;AJ78),IFERROR(IF(torlesztes="Egyenlő tőke",IF(COUNT($AN$7:AN78)&gt;$D$15,"",-$AK$5/$D$15),0),""))</f>
        <v>-909090.90909090906</v>
      </c>
      <c r="AP78" s="27">
        <f t="shared" si="58"/>
        <v>-45168.119551681433</v>
      </c>
      <c r="AR78" s="27">
        <f t="shared" ca="1" si="43"/>
        <v>329727.27272727457</v>
      </c>
      <c r="AS78" s="27">
        <f t="shared" ca="1" si="59"/>
        <v>259956.81388358847</v>
      </c>
      <c r="AT78" s="34">
        <f t="shared" si="44"/>
        <v>31</v>
      </c>
    </row>
    <row r="79" spans="1:46" x14ac:dyDescent="0.25">
      <c r="A79"/>
      <c r="E79"/>
      <c r="H79"/>
      <c r="I79"/>
      <c r="J79" s="33" t="b">
        <f t="shared" si="49"/>
        <v>0</v>
      </c>
      <c r="K79"/>
      <c r="L79" s="87"/>
      <c r="M79" s="86"/>
      <c r="N79" s="20" t="str">
        <f t="shared" si="60"/>
        <v/>
      </c>
      <c r="O79" s="9">
        <f t="shared" si="35"/>
        <v>0</v>
      </c>
      <c r="P79" s="9">
        <f t="shared" si="45"/>
        <v>0</v>
      </c>
      <c r="Q79" s="9">
        <f t="shared" si="46"/>
        <v>0</v>
      </c>
      <c r="R79" s="24" t="str">
        <f t="shared" si="47"/>
        <v/>
      </c>
      <c r="S79"/>
      <c r="T79" s="88"/>
      <c r="U79" s="86"/>
      <c r="V79" s="20" t="str">
        <f t="shared" si="50"/>
        <v/>
      </c>
      <c r="W79" s="9" t="str">
        <f t="shared" si="51"/>
        <v/>
      </c>
      <c r="X79" s="9" t="str">
        <f t="shared" ca="1" si="36"/>
        <v/>
      </c>
      <c r="Y79" s="9" t="str">
        <f t="shared" si="37"/>
        <v/>
      </c>
      <c r="Z79" s="9" t="str">
        <f t="shared" si="48"/>
        <v/>
      </c>
      <c r="AA79" s="74">
        <f t="shared" si="52"/>
        <v>46492</v>
      </c>
      <c r="AB79" s="35">
        <f t="shared" si="53"/>
        <v>0</v>
      </c>
      <c r="AC79" s="35">
        <f t="shared" si="54"/>
        <v>34545454.545454741</v>
      </c>
      <c r="AD79" s="15">
        <f t="shared" ca="1" si="38"/>
        <v>-353499.37733499578</v>
      </c>
      <c r="AE79" s="15">
        <f t="shared" si="39"/>
        <v>-42590.286425903105</v>
      </c>
      <c r="AF79" s="34">
        <f t="shared" si="40"/>
        <v>30</v>
      </c>
      <c r="AH79" s="34">
        <v>73</v>
      </c>
      <c r="AI79" s="25">
        <f t="shared" si="41"/>
        <v>73</v>
      </c>
      <c r="AJ79" s="26">
        <f t="shared" si="55"/>
        <v>46522</v>
      </c>
      <c r="AK79" s="27">
        <f t="shared" si="42"/>
        <v>34545454.545454741</v>
      </c>
      <c r="AL79" s="114">
        <f>IF(torlesztes="Egyedi",-SUMIFS(U$7:U$126,T$7:T$126,"&gt;"&amp;AJ78,T$7:T$126,"&lt;="&amp;AJ79),IFERROR(IF(torlesztes="Egyenlő tőke",IF(COUNT($AK$7:AK79)&gt;$D$15,"",-$AK$5/$D$15),0),""))</f>
        <v>-909090.90909090906</v>
      </c>
      <c r="AM79" s="27">
        <f t="shared" ca="1" si="56"/>
        <v>-353499.37733499578</v>
      </c>
      <c r="AN79" s="27">
        <f t="shared" si="57"/>
        <v>34545454.545454741</v>
      </c>
      <c r="AO79" s="27">
        <f>IF(torlesztes="Egyedi",-SUMIFS(U$7:U$126,T$7:T$126,"&gt;"&amp;AJ78,T$7:T$126,"&lt;="&amp;AJ79),IFERROR(IF(torlesztes="Egyenlő tőke",IF(COUNT($AN$7:AN79)&gt;$D$15,"",-$AK$5/$D$15),0),""))</f>
        <v>-909090.90909090906</v>
      </c>
      <c r="AP79" s="27">
        <f t="shared" si="58"/>
        <v>-42590.286425903105</v>
      </c>
      <c r="AR79" s="27">
        <f t="shared" ca="1" si="43"/>
        <v>310909.09090909269</v>
      </c>
      <c r="AS79" s="27">
        <f t="shared" ca="1" si="59"/>
        <v>244417.86755327473</v>
      </c>
      <c r="AT79" s="34">
        <f t="shared" si="44"/>
        <v>30</v>
      </c>
    </row>
    <row r="80" spans="1:46" x14ac:dyDescent="0.25">
      <c r="A80"/>
      <c r="E80"/>
      <c r="H80"/>
      <c r="I80"/>
      <c r="J80" s="33" t="b">
        <f t="shared" si="49"/>
        <v>0</v>
      </c>
      <c r="K80"/>
      <c r="L80" s="87"/>
      <c r="M80" s="86"/>
      <c r="N80" s="20" t="str">
        <f t="shared" si="60"/>
        <v/>
      </c>
      <c r="O80" s="9">
        <f t="shared" si="35"/>
        <v>0</v>
      </c>
      <c r="P80" s="9">
        <f t="shared" si="45"/>
        <v>0</v>
      </c>
      <c r="Q80" s="9">
        <f t="shared" si="46"/>
        <v>0</v>
      </c>
      <c r="R80" s="24" t="str">
        <f t="shared" si="47"/>
        <v/>
      </c>
      <c r="S80"/>
      <c r="T80" s="88"/>
      <c r="U80" s="86"/>
      <c r="V80" s="20" t="str">
        <f t="shared" si="50"/>
        <v/>
      </c>
      <c r="W80" s="9" t="str">
        <f t="shared" si="51"/>
        <v/>
      </c>
      <c r="X80" s="9" t="str">
        <f t="shared" ca="1" si="36"/>
        <v/>
      </c>
      <c r="Y80" s="9" t="str">
        <f t="shared" si="37"/>
        <v/>
      </c>
      <c r="Z80" s="9" t="str">
        <f t="shared" si="48"/>
        <v/>
      </c>
      <c r="AA80" s="74">
        <f t="shared" si="52"/>
        <v>46522</v>
      </c>
      <c r="AB80" s="35">
        <f t="shared" si="53"/>
        <v>0</v>
      </c>
      <c r="AC80" s="35">
        <f t="shared" si="54"/>
        <v>33636363.636363834</v>
      </c>
      <c r="AD80" s="15">
        <f t="shared" ca="1" si="38"/>
        <v>-355669.98754670192</v>
      </c>
      <c r="AE80" s="15">
        <f t="shared" si="39"/>
        <v>-42851.805728518309</v>
      </c>
      <c r="AF80" s="34">
        <f t="shared" si="40"/>
        <v>31</v>
      </c>
      <c r="AH80" s="34">
        <v>74</v>
      </c>
      <c r="AI80" s="25">
        <f t="shared" si="41"/>
        <v>74</v>
      </c>
      <c r="AJ80" s="26">
        <f t="shared" si="55"/>
        <v>46553</v>
      </c>
      <c r="AK80" s="27">
        <f t="shared" si="42"/>
        <v>33636363.636363834</v>
      </c>
      <c r="AL80" s="114">
        <f>IF(torlesztes="Egyedi",-SUMIFS(U$7:U$126,T$7:T$126,"&gt;"&amp;AJ79,T$7:T$126,"&lt;="&amp;AJ80),IFERROR(IF(torlesztes="Egyenlő tőke",IF(COUNT($AK$7:AK80)&gt;$D$15,"",-$AK$5/$D$15),0),""))</f>
        <v>-909090.90909090906</v>
      </c>
      <c r="AM80" s="27">
        <f t="shared" ca="1" si="56"/>
        <v>-355669.98754670192</v>
      </c>
      <c r="AN80" s="27">
        <f t="shared" si="57"/>
        <v>33636363.636363834</v>
      </c>
      <c r="AO80" s="27">
        <f>IF(torlesztes="Egyedi",-SUMIFS(U$7:U$126,T$7:T$126,"&gt;"&amp;AJ79,T$7:T$126,"&lt;="&amp;AJ80),IFERROR(IF(torlesztes="Egyenlő tőke",IF(COUNT($AN$7:AN80)&gt;$D$15,"",-$AK$5/$D$15),0),""))</f>
        <v>-909090.90909090906</v>
      </c>
      <c r="AP80" s="27">
        <f t="shared" si="58"/>
        <v>-42851.805728518309</v>
      </c>
      <c r="AR80" s="27">
        <f t="shared" ca="1" si="43"/>
        <v>312818.18181818363</v>
      </c>
      <c r="AS80" s="27">
        <f t="shared" ca="1" si="59"/>
        <v>245213.68966292628</v>
      </c>
      <c r="AT80" s="34">
        <f t="shared" si="44"/>
        <v>31</v>
      </c>
    </row>
    <row r="81" spans="1:46" x14ac:dyDescent="0.25">
      <c r="A81"/>
      <c r="E81"/>
      <c r="H81"/>
      <c r="I81"/>
      <c r="J81" s="33" t="b">
        <f t="shared" si="49"/>
        <v>0</v>
      </c>
      <c r="K81"/>
      <c r="L81" s="87"/>
      <c r="M81" s="86"/>
      <c r="N81" s="20" t="str">
        <f t="shared" si="60"/>
        <v/>
      </c>
      <c r="O81" s="9">
        <f t="shared" si="35"/>
        <v>0</v>
      </c>
      <c r="P81" s="9">
        <f t="shared" si="45"/>
        <v>0</v>
      </c>
      <c r="Q81" s="9">
        <f t="shared" si="46"/>
        <v>0</v>
      </c>
      <c r="R81" s="24" t="str">
        <f t="shared" si="47"/>
        <v/>
      </c>
      <c r="S81"/>
      <c r="T81" s="88"/>
      <c r="U81" s="86"/>
      <c r="V81" s="20" t="str">
        <f t="shared" si="50"/>
        <v/>
      </c>
      <c r="W81" s="9" t="str">
        <f t="shared" si="51"/>
        <v/>
      </c>
      <c r="X81" s="9" t="str">
        <f t="shared" ca="1" si="36"/>
        <v/>
      </c>
      <c r="Y81" s="9" t="str">
        <f t="shared" si="37"/>
        <v/>
      </c>
      <c r="Z81" s="9" t="str">
        <f t="shared" si="48"/>
        <v/>
      </c>
      <c r="AA81" s="74">
        <f t="shared" si="52"/>
        <v>46553</v>
      </c>
      <c r="AB81" s="35">
        <f t="shared" si="53"/>
        <v>0</v>
      </c>
      <c r="AC81" s="35">
        <f t="shared" si="54"/>
        <v>32727272.727272924</v>
      </c>
      <c r="AD81" s="15">
        <f t="shared" ca="1" si="38"/>
        <v>-334894.14694894344</v>
      </c>
      <c r="AE81" s="15">
        <f t="shared" si="39"/>
        <v>-40348.692403487163</v>
      </c>
      <c r="AF81" s="34">
        <f t="shared" si="40"/>
        <v>30</v>
      </c>
      <c r="AH81" s="34">
        <v>75</v>
      </c>
      <c r="AI81" s="25">
        <f t="shared" si="41"/>
        <v>75</v>
      </c>
      <c r="AJ81" s="26">
        <f t="shared" si="55"/>
        <v>46583</v>
      </c>
      <c r="AK81" s="27">
        <f t="shared" si="42"/>
        <v>32727272.727272924</v>
      </c>
      <c r="AL81" s="114">
        <f>IF(torlesztes="Egyedi",-SUMIFS(U$7:U$126,T$7:T$126,"&gt;"&amp;AJ80,T$7:T$126,"&lt;="&amp;AJ81),IFERROR(IF(torlesztes="Egyenlő tőke",IF(COUNT($AK$7:AK81)&gt;$D$15,"",-$AK$5/$D$15),0),""))</f>
        <v>-909090.90909090906</v>
      </c>
      <c r="AM81" s="27">
        <f t="shared" ca="1" si="56"/>
        <v>-334894.14694894344</v>
      </c>
      <c r="AN81" s="27">
        <f t="shared" si="57"/>
        <v>32727272.727272924</v>
      </c>
      <c r="AO81" s="27">
        <f>IF(torlesztes="Egyedi",-SUMIFS(U$7:U$126,T$7:T$126,"&gt;"&amp;AJ80,T$7:T$126,"&lt;="&amp;AJ81),IFERROR(IF(torlesztes="Egyenlő tőke",IF(COUNT($AN$7:AN81)&gt;$D$15,"",-$AK$5/$D$15),0),""))</f>
        <v>-909090.90909090906</v>
      </c>
      <c r="AP81" s="27">
        <f t="shared" si="58"/>
        <v>-40348.692403487163</v>
      </c>
      <c r="AR81" s="27">
        <f t="shared" ca="1" si="43"/>
        <v>294545.45454545628</v>
      </c>
      <c r="AS81" s="27">
        <f t="shared" ca="1" si="59"/>
        <v>230228.05496617482</v>
      </c>
      <c r="AT81" s="34">
        <f t="shared" si="44"/>
        <v>30</v>
      </c>
    </row>
    <row r="82" spans="1:46" x14ac:dyDescent="0.25">
      <c r="A82"/>
      <c r="E82"/>
      <c r="H82"/>
      <c r="I82"/>
      <c r="J82" s="33" t="b">
        <f t="shared" si="49"/>
        <v>0</v>
      </c>
      <c r="K82"/>
      <c r="L82" s="87"/>
      <c r="M82" s="86"/>
      <c r="N82" s="20" t="str">
        <f t="shared" si="60"/>
        <v/>
      </c>
      <c r="O82" s="9">
        <f t="shared" si="35"/>
        <v>0</v>
      </c>
      <c r="P82" s="9">
        <f t="shared" si="45"/>
        <v>0</v>
      </c>
      <c r="Q82" s="9">
        <f t="shared" si="46"/>
        <v>0</v>
      </c>
      <c r="R82" s="24" t="str">
        <f t="shared" si="47"/>
        <v/>
      </c>
      <c r="S82"/>
      <c r="T82" s="88"/>
      <c r="U82" s="86"/>
      <c r="V82" s="20" t="str">
        <f t="shared" si="50"/>
        <v/>
      </c>
      <c r="W82" s="9" t="str">
        <f t="shared" si="51"/>
        <v/>
      </c>
      <c r="X82" s="9" t="str">
        <f t="shared" ca="1" si="36"/>
        <v/>
      </c>
      <c r="Y82" s="9" t="str">
        <f t="shared" si="37"/>
        <v/>
      </c>
      <c r="Z82" s="9" t="str">
        <f t="shared" si="48"/>
        <v/>
      </c>
      <c r="AA82" s="74">
        <f t="shared" si="52"/>
        <v>46583</v>
      </c>
      <c r="AB82" s="35">
        <f t="shared" si="53"/>
        <v>0</v>
      </c>
      <c r="AC82" s="35">
        <f t="shared" si="54"/>
        <v>31818181.818182014</v>
      </c>
      <c r="AD82" s="15">
        <f t="shared" ca="1" si="38"/>
        <v>-336444.58281444793</v>
      </c>
      <c r="AE82" s="15">
        <f t="shared" si="39"/>
        <v>-40535.491905355171</v>
      </c>
      <c r="AF82" s="34">
        <f t="shared" si="40"/>
        <v>31</v>
      </c>
      <c r="AH82" s="34">
        <v>76</v>
      </c>
      <c r="AI82" s="25">
        <f t="shared" si="41"/>
        <v>76</v>
      </c>
      <c r="AJ82" s="26">
        <f t="shared" si="55"/>
        <v>46614</v>
      </c>
      <c r="AK82" s="27">
        <f t="shared" si="42"/>
        <v>31818181.818182014</v>
      </c>
      <c r="AL82" s="114">
        <f>IF(torlesztes="Egyedi",-SUMIFS(U$7:U$126,T$7:T$126,"&gt;"&amp;AJ81,T$7:T$126,"&lt;="&amp;AJ82),IFERROR(IF(torlesztes="Egyenlő tőke",IF(COUNT($AK$7:AK82)&gt;$D$15,"",-$AK$5/$D$15),0),""))</f>
        <v>-909090.90909090906</v>
      </c>
      <c r="AM82" s="27">
        <f t="shared" ca="1" si="56"/>
        <v>-336444.58281444793</v>
      </c>
      <c r="AN82" s="27">
        <f t="shared" si="57"/>
        <v>31818181.818182014</v>
      </c>
      <c r="AO82" s="27">
        <f>IF(torlesztes="Egyedi",-SUMIFS(U$7:U$126,T$7:T$126,"&gt;"&amp;AJ81,T$7:T$126,"&lt;="&amp;AJ82),IFERROR(IF(torlesztes="Egyenlő tőke",IF(COUNT($AN$7:AN82)&gt;$D$15,"",-$AK$5/$D$15),0),""))</f>
        <v>-909090.90909090906</v>
      </c>
      <c r="AP82" s="27">
        <f t="shared" si="58"/>
        <v>-40535.491905355171</v>
      </c>
      <c r="AR82" s="27">
        <f t="shared" ca="1" si="43"/>
        <v>295909.09090909275</v>
      </c>
      <c r="AS82" s="27">
        <f t="shared" ca="1" si="59"/>
        <v>230630.8618631617</v>
      </c>
      <c r="AT82" s="34">
        <f t="shared" si="44"/>
        <v>31</v>
      </c>
    </row>
    <row r="83" spans="1:46" x14ac:dyDescent="0.25">
      <c r="A83"/>
      <c r="E83"/>
      <c r="H83"/>
      <c r="I83"/>
      <c r="J83" s="33" t="b">
        <f t="shared" si="49"/>
        <v>0</v>
      </c>
      <c r="K83"/>
      <c r="L83" s="87"/>
      <c r="M83" s="86"/>
      <c r="N83" s="20" t="str">
        <f t="shared" si="60"/>
        <v/>
      </c>
      <c r="O83" s="9">
        <f t="shared" si="35"/>
        <v>0</v>
      </c>
      <c r="P83" s="9">
        <f t="shared" si="45"/>
        <v>0</v>
      </c>
      <c r="Q83" s="9">
        <f t="shared" si="46"/>
        <v>0</v>
      </c>
      <c r="R83" s="24" t="str">
        <f t="shared" si="47"/>
        <v/>
      </c>
      <c r="S83"/>
      <c r="T83" s="88"/>
      <c r="U83" s="86"/>
      <c r="V83" s="20" t="str">
        <f t="shared" si="50"/>
        <v/>
      </c>
      <c r="W83" s="9" t="str">
        <f t="shared" si="51"/>
        <v/>
      </c>
      <c r="X83" s="9" t="str">
        <f t="shared" ca="1" si="36"/>
        <v/>
      </c>
      <c r="Y83" s="9" t="str">
        <f t="shared" si="37"/>
        <v/>
      </c>
      <c r="Z83" s="9" t="str">
        <f t="shared" si="48"/>
        <v/>
      </c>
      <c r="AA83" s="74">
        <f t="shared" si="52"/>
        <v>46614</v>
      </c>
      <c r="AB83" s="35">
        <f t="shared" si="53"/>
        <v>0</v>
      </c>
      <c r="AC83" s="35">
        <f t="shared" si="54"/>
        <v>30909090.909091104</v>
      </c>
      <c r="AD83" s="15">
        <f t="shared" ca="1" si="38"/>
        <v>-326831.88044832088</v>
      </c>
      <c r="AE83" s="15">
        <f t="shared" si="39"/>
        <v>-39377.334993773598</v>
      </c>
      <c r="AF83" s="34">
        <f t="shared" si="40"/>
        <v>31</v>
      </c>
      <c r="AH83" s="34">
        <v>77</v>
      </c>
      <c r="AI83" s="25">
        <f t="shared" si="41"/>
        <v>77</v>
      </c>
      <c r="AJ83" s="26">
        <f t="shared" si="55"/>
        <v>46645</v>
      </c>
      <c r="AK83" s="27">
        <f t="shared" si="42"/>
        <v>30909090.909091104</v>
      </c>
      <c r="AL83" s="114">
        <f>IF(torlesztes="Egyedi",-SUMIFS(U$7:U$126,T$7:T$126,"&gt;"&amp;AJ82,T$7:T$126,"&lt;="&amp;AJ83),IFERROR(IF(torlesztes="Egyenlő tőke",IF(COUNT($AK$7:AK83)&gt;$D$15,"",-$AK$5/$D$15),0),""))</f>
        <v>-909090.90909090906</v>
      </c>
      <c r="AM83" s="27">
        <f t="shared" ca="1" si="56"/>
        <v>-326831.88044832088</v>
      </c>
      <c r="AN83" s="27">
        <f t="shared" si="57"/>
        <v>30909090.909091104</v>
      </c>
      <c r="AO83" s="27">
        <f>IF(torlesztes="Egyedi",-SUMIFS(U$7:U$126,T$7:T$126,"&gt;"&amp;AJ82,T$7:T$126,"&lt;="&amp;AJ83),IFERROR(IF(torlesztes="Egyenlő tőke",IF(COUNT($AN$7:AN83)&gt;$D$15,"",-$AK$5/$D$15),0),""))</f>
        <v>-909090.90909090906</v>
      </c>
      <c r="AP83" s="27">
        <f t="shared" si="58"/>
        <v>-39377.334993773598</v>
      </c>
      <c r="AR83" s="27">
        <f t="shared" ca="1" si="43"/>
        <v>287454.54545454727</v>
      </c>
      <c r="AS83" s="27">
        <f t="shared" ca="1" si="59"/>
        <v>223399.13615063831</v>
      </c>
      <c r="AT83" s="34">
        <f t="shared" si="44"/>
        <v>31</v>
      </c>
    </row>
    <row r="84" spans="1:46" x14ac:dyDescent="0.25">
      <c r="A84"/>
      <c r="E84"/>
      <c r="H84"/>
      <c r="I84"/>
      <c r="J84" s="33" t="b">
        <f t="shared" si="49"/>
        <v>0</v>
      </c>
      <c r="K84"/>
      <c r="L84" s="87"/>
      <c r="M84" s="86"/>
      <c r="N84" s="20" t="str">
        <f t="shared" si="60"/>
        <v/>
      </c>
      <c r="O84" s="9">
        <f t="shared" si="35"/>
        <v>0</v>
      </c>
      <c r="P84" s="9">
        <f t="shared" si="45"/>
        <v>0</v>
      </c>
      <c r="Q84" s="9">
        <f t="shared" si="46"/>
        <v>0</v>
      </c>
      <c r="R84" s="24" t="str">
        <f t="shared" si="47"/>
        <v/>
      </c>
      <c r="S84"/>
      <c r="T84" s="88"/>
      <c r="U84" s="86"/>
      <c r="V84" s="20" t="str">
        <f t="shared" si="50"/>
        <v/>
      </c>
      <c r="W84" s="9" t="str">
        <f t="shared" si="51"/>
        <v/>
      </c>
      <c r="X84" s="9" t="str">
        <f t="shared" ca="1" si="36"/>
        <v/>
      </c>
      <c r="Y84" s="9" t="str">
        <f t="shared" si="37"/>
        <v/>
      </c>
      <c r="Z84" s="9" t="str">
        <f t="shared" si="48"/>
        <v/>
      </c>
      <c r="AA84" s="74">
        <f t="shared" si="52"/>
        <v>46645</v>
      </c>
      <c r="AB84" s="35">
        <f t="shared" si="53"/>
        <v>0</v>
      </c>
      <c r="AC84" s="35">
        <f t="shared" si="54"/>
        <v>30000000.000000194</v>
      </c>
      <c r="AD84" s="15">
        <f t="shared" ca="1" si="38"/>
        <v>-306986.30136986496</v>
      </c>
      <c r="AE84" s="15">
        <f t="shared" si="39"/>
        <v>-36986.301369863249</v>
      </c>
      <c r="AF84" s="34">
        <f t="shared" si="40"/>
        <v>30</v>
      </c>
      <c r="AH84" s="34">
        <v>78</v>
      </c>
      <c r="AI84" s="25">
        <f t="shared" si="41"/>
        <v>78</v>
      </c>
      <c r="AJ84" s="26">
        <f t="shared" si="55"/>
        <v>46675</v>
      </c>
      <c r="AK84" s="27">
        <f t="shared" si="42"/>
        <v>30000000.000000194</v>
      </c>
      <c r="AL84" s="114">
        <f>IF(torlesztes="Egyedi",-SUMIFS(U$7:U$126,T$7:T$126,"&gt;"&amp;AJ83,T$7:T$126,"&lt;="&amp;AJ84),IFERROR(IF(torlesztes="Egyenlő tőke",IF(COUNT($AK$7:AK84)&gt;$D$15,"",-$AK$5/$D$15),0),""))</f>
        <v>-909090.90909090906</v>
      </c>
      <c r="AM84" s="27">
        <f t="shared" ca="1" si="56"/>
        <v>-306986.30136986496</v>
      </c>
      <c r="AN84" s="27">
        <f t="shared" si="57"/>
        <v>30000000.000000194</v>
      </c>
      <c r="AO84" s="27">
        <f>IF(torlesztes="Egyedi",-SUMIFS(U$7:U$126,T$7:T$126,"&gt;"&amp;AJ83,T$7:T$126,"&lt;="&amp;AJ84),IFERROR(IF(torlesztes="Egyenlő tőke",IF(COUNT($AN$7:AN84)&gt;$D$15,"",-$AK$5/$D$15),0),""))</f>
        <v>-909090.90909090906</v>
      </c>
      <c r="AP84" s="27">
        <f t="shared" si="58"/>
        <v>-36986.301369863249</v>
      </c>
      <c r="AR84" s="27">
        <f t="shared" ca="1" si="43"/>
        <v>270000.00000000169</v>
      </c>
      <c r="AS84" s="27">
        <f t="shared" ca="1" si="59"/>
        <v>209232.55960662614</v>
      </c>
      <c r="AT84" s="34">
        <f t="shared" si="44"/>
        <v>30</v>
      </c>
    </row>
    <row r="85" spans="1:46" x14ac:dyDescent="0.25">
      <c r="A85"/>
      <c r="E85"/>
      <c r="H85"/>
      <c r="I85"/>
      <c r="J85" s="33" t="b">
        <f t="shared" si="49"/>
        <v>0</v>
      </c>
      <c r="K85"/>
      <c r="L85" s="87"/>
      <c r="M85" s="86"/>
      <c r="N85" s="20" t="str">
        <f t="shared" si="60"/>
        <v/>
      </c>
      <c r="O85" s="9">
        <f t="shared" si="35"/>
        <v>0</v>
      </c>
      <c r="P85" s="9">
        <f t="shared" si="45"/>
        <v>0</v>
      </c>
      <c r="Q85" s="9">
        <f t="shared" si="46"/>
        <v>0</v>
      </c>
      <c r="R85" s="24" t="str">
        <f t="shared" si="47"/>
        <v/>
      </c>
      <c r="S85"/>
      <c r="T85" s="88"/>
      <c r="U85" s="86"/>
      <c r="V85" s="20" t="str">
        <f t="shared" si="50"/>
        <v/>
      </c>
      <c r="W85" s="9" t="str">
        <f t="shared" si="51"/>
        <v/>
      </c>
      <c r="X85" s="9" t="str">
        <f t="shared" ca="1" si="36"/>
        <v/>
      </c>
      <c r="Y85" s="9" t="str">
        <f t="shared" si="37"/>
        <v/>
      </c>
      <c r="Z85" s="9" t="str">
        <f t="shared" si="48"/>
        <v/>
      </c>
      <c r="AA85" s="74">
        <f t="shared" si="52"/>
        <v>46675</v>
      </c>
      <c r="AB85" s="35">
        <f t="shared" si="53"/>
        <v>0</v>
      </c>
      <c r="AC85" s="35">
        <f t="shared" si="54"/>
        <v>29090909.090909284</v>
      </c>
      <c r="AD85" s="15">
        <f t="shared" ca="1" si="38"/>
        <v>-307606.47571606678</v>
      </c>
      <c r="AE85" s="15">
        <f t="shared" si="39"/>
        <v>-37061.02117061046</v>
      </c>
      <c r="AF85" s="34">
        <f t="shared" si="40"/>
        <v>31</v>
      </c>
      <c r="AH85" s="34">
        <v>79</v>
      </c>
      <c r="AI85" s="25">
        <f t="shared" si="41"/>
        <v>79</v>
      </c>
      <c r="AJ85" s="26">
        <f t="shared" si="55"/>
        <v>46706</v>
      </c>
      <c r="AK85" s="27">
        <f t="shared" si="42"/>
        <v>29090909.090909284</v>
      </c>
      <c r="AL85" s="114">
        <f>IF(torlesztes="Egyedi",-SUMIFS(U$7:U$126,T$7:T$126,"&gt;"&amp;AJ84,T$7:T$126,"&lt;="&amp;AJ85),IFERROR(IF(torlesztes="Egyenlő tőke",IF(COUNT($AK$7:AK85)&gt;$D$15,"",-$AK$5/$D$15),0),""))</f>
        <v>-909090.90909090906</v>
      </c>
      <c r="AM85" s="27">
        <f t="shared" ca="1" si="56"/>
        <v>-307606.47571606678</v>
      </c>
      <c r="AN85" s="27">
        <f t="shared" si="57"/>
        <v>29090909.090909284</v>
      </c>
      <c r="AO85" s="27">
        <f>IF(torlesztes="Egyedi",-SUMIFS(U$7:U$126,T$7:T$126,"&gt;"&amp;AJ84,T$7:T$126,"&lt;="&amp;AJ85),IFERROR(IF(torlesztes="Egyenlő tőke",IF(COUNT($AN$7:AN85)&gt;$D$15,"",-$AK$5/$D$15),0),""))</f>
        <v>-909090.90909090906</v>
      </c>
      <c r="AP85" s="27">
        <f t="shared" si="58"/>
        <v>-37061.02117061046</v>
      </c>
      <c r="AR85" s="27">
        <f t="shared" ca="1" si="43"/>
        <v>270545.45454545633</v>
      </c>
      <c r="AS85" s="27">
        <f t="shared" ca="1" si="59"/>
        <v>209054.22076154608</v>
      </c>
      <c r="AT85" s="34">
        <f t="shared" si="44"/>
        <v>31</v>
      </c>
    </row>
    <row r="86" spans="1:46" x14ac:dyDescent="0.25">
      <c r="A86"/>
      <c r="E86"/>
      <c r="H86"/>
      <c r="I86"/>
      <c r="J86" s="33" t="b">
        <f t="shared" si="49"/>
        <v>0</v>
      </c>
      <c r="K86"/>
      <c r="L86" s="87"/>
      <c r="M86" s="86"/>
      <c r="N86" s="20" t="str">
        <f t="shared" si="60"/>
        <v/>
      </c>
      <c r="O86" s="9">
        <f t="shared" si="35"/>
        <v>0</v>
      </c>
      <c r="P86" s="9">
        <f t="shared" si="45"/>
        <v>0</v>
      </c>
      <c r="Q86" s="9">
        <f t="shared" si="46"/>
        <v>0</v>
      </c>
      <c r="R86" s="24" t="str">
        <f t="shared" si="47"/>
        <v/>
      </c>
      <c r="S86"/>
      <c r="T86" s="88"/>
      <c r="U86" s="86"/>
      <c r="V86" s="20" t="str">
        <f t="shared" si="50"/>
        <v/>
      </c>
      <c r="W86" s="9" t="str">
        <f t="shared" si="51"/>
        <v/>
      </c>
      <c r="X86" s="9" t="str">
        <f t="shared" ca="1" si="36"/>
        <v/>
      </c>
      <c r="Y86" s="9" t="str">
        <f t="shared" si="37"/>
        <v/>
      </c>
      <c r="Z86" s="9" t="str">
        <f t="shared" si="48"/>
        <v/>
      </c>
      <c r="AA86" s="74">
        <f t="shared" si="52"/>
        <v>46706</v>
      </c>
      <c r="AB86" s="35">
        <f t="shared" si="53"/>
        <v>0</v>
      </c>
      <c r="AC86" s="35">
        <f t="shared" si="54"/>
        <v>28181818.181818374</v>
      </c>
      <c r="AD86" s="15">
        <f t="shared" ca="1" si="38"/>
        <v>-288381.07098381268</v>
      </c>
      <c r="AE86" s="15">
        <f t="shared" si="39"/>
        <v>-34744.707347447307</v>
      </c>
      <c r="AF86" s="34">
        <f t="shared" si="40"/>
        <v>30</v>
      </c>
      <c r="AH86" s="34">
        <v>80</v>
      </c>
      <c r="AI86" s="25">
        <f t="shared" si="41"/>
        <v>80</v>
      </c>
      <c r="AJ86" s="26">
        <f t="shared" si="55"/>
        <v>46736</v>
      </c>
      <c r="AK86" s="27">
        <f t="shared" si="42"/>
        <v>28181818.181818374</v>
      </c>
      <c r="AL86" s="114">
        <f>IF(torlesztes="Egyedi",-SUMIFS(U$7:U$126,T$7:T$126,"&gt;"&amp;AJ85,T$7:T$126,"&lt;="&amp;AJ86),IFERROR(IF(torlesztes="Egyenlő tőke",IF(COUNT($AK$7:AK86)&gt;$D$15,"",-$AK$5/$D$15),0),""))</f>
        <v>-909090.90909090906</v>
      </c>
      <c r="AM86" s="27">
        <f t="shared" ca="1" si="56"/>
        <v>-288381.07098381268</v>
      </c>
      <c r="AN86" s="27">
        <f t="shared" si="57"/>
        <v>28181818.181818374</v>
      </c>
      <c r="AO86" s="27">
        <f>IF(torlesztes="Egyedi",-SUMIFS(U$7:U$126,T$7:T$126,"&gt;"&amp;AJ85,T$7:T$126,"&lt;="&amp;AJ86),IFERROR(IF(torlesztes="Egyenlő tőke",IF(COUNT($AN$7:AN86)&gt;$D$15,"",-$AK$5/$D$15),0),""))</f>
        <v>-909090.90909090906</v>
      </c>
      <c r="AP86" s="27">
        <f t="shared" si="58"/>
        <v>-34744.707347447307</v>
      </c>
      <c r="AR86" s="27">
        <f t="shared" ca="1" si="43"/>
        <v>253636.36363636536</v>
      </c>
      <c r="AS86" s="27">
        <f t="shared" ca="1" si="59"/>
        <v>195426.48083155876</v>
      </c>
      <c r="AT86" s="34">
        <f t="shared" si="44"/>
        <v>30</v>
      </c>
    </row>
    <row r="87" spans="1:46" x14ac:dyDescent="0.25">
      <c r="A87"/>
      <c r="E87"/>
      <c r="H87"/>
      <c r="I87"/>
      <c r="J87" s="33" t="b">
        <f t="shared" si="49"/>
        <v>0</v>
      </c>
      <c r="K87"/>
      <c r="L87" s="87"/>
      <c r="M87" s="86"/>
      <c r="N87" s="20" t="str">
        <f t="shared" si="60"/>
        <v/>
      </c>
      <c r="O87" s="9">
        <f t="shared" si="35"/>
        <v>0</v>
      </c>
      <c r="P87" s="9">
        <f t="shared" si="45"/>
        <v>0</v>
      </c>
      <c r="Q87" s="9">
        <f t="shared" si="46"/>
        <v>0</v>
      </c>
      <c r="R87" s="24" t="str">
        <f t="shared" si="47"/>
        <v/>
      </c>
      <c r="S87"/>
      <c r="T87" s="88"/>
      <c r="U87" s="86"/>
      <c r="V87" s="20" t="str">
        <f t="shared" si="50"/>
        <v/>
      </c>
      <c r="W87" s="9" t="str">
        <f t="shared" si="51"/>
        <v/>
      </c>
      <c r="X87" s="9" t="str">
        <f t="shared" ca="1" si="36"/>
        <v/>
      </c>
      <c r="Y87" s="9" t="str">
        <f t="shared" si="37"/>
        <v/>
      </c>
      <c r="Z87" s="9" t="str">
        <f t="shared" si="48"/>
        <v/>
      </c>
      <c r="AA87" s="74">
        <f t="shared" si="52"/>
        <v>46736</v>
      </c>
      <c r="AB87" s="35">
        <f t="shared" si="53"/>
        <v>0</v>
      </c>
      <c r="AC87" s="35">
        <f t="shared" si="54"/>
        <v>27272727.272727463</v>
      </c>
      <c r="AD87" s="15">
        <f t="shared" ca="1" si="38"/>
        <v>-288381.07098381274</v>
      </c>
      <c r="AE87" s="15">
        <f t="shared" si="39"/>
        <v>-34744.707347447315</v>
      </c>
      <c r="AF87" s="34">
        <f t="shared" si="40"/>
        <v>31</v>
      </c>
      <c r="AH87" s="34">
        <v>81</v>
      </c>
      <c r="AI87" s="25">
        <f t="shared" si="41"/>
        <v>81</v>
      </c>
      <c r="AJ87" s="26">
        <f t="shared" si="55"/>
        <v>46767</v>
      </c>
      <c r="AK87" s="27">
        <f t="shared" si="42"/>
        <v>27272727.272727463</v>
      </c>
      <c r="AL87" s="114">
        <f>IF(torlesztes="Egyedi",-SUMIFS(U$7:U$126,T$7:T$126,"&gt;"&amp;AJ86,T$7:T$126,"&lt;="&amp;AJ87),IFERROR(IF(torlesztes="Egyenlő tőke",IF(COUNT($AK$7:AK87)&gt;$D$15,"",-$AK$5/$D$15),0),""))</f>
        <v>-909090.90909090906</v>
      </c>
      <c r="AM87" s="27">
        <f t="shared" ca="1" si="56"/>
        <v>-288381.07098381274</v>
      </c>
      <c r="AN87" s="27">
        <f t="shared" si="57"/>
        <v>27272727.272727463</v>
      </c>
      <c r="AO87" s="27">
        <f>IF(torlesztes="Egyedi",-SUMIFS(U$7:U$126,T$7:T$126,"&gt;"&amp;AJ86,T$7:T$126,"&lt;="&amp;AJ87),IFERROR(IF(torlesztes="Egyenlő tőke",IF(COUNT($AN$7:AN87)&gt;$D$15,"",-$AK$5/$D$15),0),""))</f>
        <v>-909090.90909090906</v>
      </c>
      <c r="AP87" s="27">
        <f t="shared" si="58"/>
        <v>-34744.707347447315</v>
      </c>
      <c r="AR87" s="27">
        <f t="shared" ca="1" si="43"/>
        <v>253636.36363636542</v>
      </c>
      <c r="AS87" s="27">
        <f t="shared" ca="1" si="59"/>
        <v>194866.24039043632</v>
      </c>
      <c r="AT87" s="34">
        <f t="shared" si="44"/>
        <v>31</v>
      </c>
    </row>
    <row r="88" spans="1:46" x14ac:dyDescent="0.25">
      <c r="A88"/>
      <c r="E88"/>
      <c r="H88"/>
      <c r="I88"/>
      <c r="J88" s="33" t="b">
        <f t="shared" si="49"/>
        <v>0</v>
      </c>
      <c r="K88"/>
      <c r="L88" s="87"/>
      <c r="M88" s="86"/>
      <c r="N88" s="20" t="str">
        <f t="shared" si="60"/>
        <v/>
      </c>
      <c r="O88" s="9">
        <f t="shared" si="35"/>
        <v>0</v>
      </c>
      <c r="P88" s="9">
        <f t="shared" si="45"/>
        <v>0</v>
      </c>
      <c r="Q88" s="9">
        <f t="shared" si="46"/>
        <v>0</v>
      </c>
      <c r="R88" s="24" t="str">
        <f t="shared" si="47"/>
        <v/>
      </c>
      <c r="S88"/>
      <c r="T88" s="88"/>
      <c r="U88" s="86"/>
      <c r="V88" s="20" t="str">
        <f t="shared" si="50"/>
        <v/>
      </c>
      <c r="W88" s="9" t="str">
        <f t="shared" si="51"/>
        <v/>
      </c>
      <c r="X88" s="9" t="str">
        <f t="shared" ca="1" si="36"/>
        <v/>
      </c>
      <c r="Y88" s="9" t="str">
        <f t="shared" si="37"/>
        <v/>
      </c>
      <c r="Z88" s="9" t="str">
        <f t="shared" si="48"/>
        <v/>
      </c>
      <c r="AA88" s="74">
        <f t="shared" si="52"/>
        <v>46767</v>
      </c>
      <c r="AB88" s="35">
        <f t="shared" si="53"/>
        <v>0</v>
      </c>
      <c r="AC88" s="35">
        <f t="shared" si="54"/>
        <v>26363636.363636553</v>
      </c>
      <c r="AD88" s="15">
        <f t="shared" ca="1" si="38"/>
        <v>-278768.36861768569</v>
      </c>
      <c r="AE88" s="15">
        <f t="shared" si="39"/>
        <v>-33586.550435865742</v>
      </c>
      <c r="AF88" s="34">
        <f t="shared" si="40"/>
        <v>31</v>
      </c>
      <c r="AH88" s="34">
        <v>82</v>
      </c>
      <c r="AI88" s="25">
        <f t="shared" si="41"/>
        <v>82</v>
      </c>
      <c r="AJ88" s="26">
        <f t="shared" si="55"/>
        <v>46798</v>
      </c>
      <c r="AK88" s="27">
        <f t="shared" si="42"/>
        <v>26363636.363636553</v>
      </c>
      <c r="AL88" s="114">
        <f>IF(torlesztes="Egyedi",-SUMIFS(U$7:U$126,T$7:T$126,"&gt;"&amp;AJ87,T$7:T$126,"&lt;="&amp;AJ88),IFERROR(IF(torlesztes="Egyenlő tőke",IF(COUNT($AK$7:AK88)&gt;$D$15,"",-$AK$5/$D$15),0),""))</f>
        <v>-909090.90909090906</v>
      </c>
      <c r="AM88" s="27">
        <f t="shared" ca="1" si="56"/>
        <v>-278768.36861768569</v>
      </c>
      <c r="AN88" s="27">
        <f t="shared" si="57"/>
        <v>26363636.363636553</v>
      </c>
      <c r="AO88" s="27">
        <f>IF(torlesztes="Egyedi",-SUMIFS(U$7:U$126,T$7:T$126,"&gt;"&amp;AJ87,T$7:T$126,"&lt;="&amp;AJ88),IFERROR(IF(torlesztes="Egyenlő tőke",IF(COUNT($AN$7:AN88)&gt;$D$15,"",-$AK$5/$D$15),0),""))</f>
        <v>-909090.90909090906</v>
      </c>
      <c r="AP88" s="27">
        <f t="shared" si="58"/>
        <v>-33586.550435865742</v>
      </c>
      <c r="AR88" s="27">
        <f t="shared" ca="1" si="43"/>
        <v>245181.81818181995</v>
      </c>
      <c r="AS88" s="27">
        <f t="shared" ca="1" si="59"/>
        <v>187830.68582234927</v>
      </c>
      <c r="AT88" s="34">
        <f t="shared" si="44"/>
        <v>31</v>
      </c>
    </row>
    <row r="89" spans="1:46" x14ac:dyDescent="0.25">
      <c r="A89"/>
      <c r="E89"/>
      <c r="H89"/>
      <c r="I89"/>
      <c r="J89" s="33" t="b">
        <f t="shared" si="49"/>
        <v>0</v>
      </c>
      <c r="K89"/>
      <c r="L89" s="87"/>
      <c r="M89" s="86"/>
      <c r="N89" s="20" t="str">
        <f t="shared" si="60"/>
        <v/>
      </c>
      <c r="O89" s="9">
        <f t="shared" si="35"/>
        <v>0</v>
      </c>
      <c r="P89" s="9">
        <f t="shared" si="45"/>
        <v>0</v>
      </c>
      <c r="Q89" s="9">
        <f t="shared" si="46"/>
        <v>0</v>
      </c>
      <c r="R89" s="24" t="str">
        <f t="shared" si="47"/>
        <v/>
      </c>
      <c r="S89"/>
      <c r="T89" s="88"/>
      <c r="U89" s="86"/>
      <c r="V89" s="20" t="str">
        <f t="shared" si="50"/>
        <v/>
      </c>
      <c r="W89" s="9" t="str">
        <f t="shared" si="51"/>
        <v/>
      </c>
      <c r="X89" s="9" t="str">
        <f t="shared" ca="1" si="36"/>
        <v/>
      </c>
      <c r="Y89" s="9" t="str">
        <f t="shared" si="37"/>
        <v/>
      </c>
      <c r="Z89" s="9" t="str">
        <f t="shared" si="48"/>
        <v/>
      </c>
      <c r="AA89" s="74">
        <f t="shared" si="52"/>
        <v>46798</v>
      </c>
      <c r="AB89" s="35">
        <f t="shared" si="53"/>
        <v>0</v>
      </c>
      <c r="AC89" s="35">
        <f t="shared" si="54"/>
        <v>25454545.454545643</v>
      </c>
      <c r="AD89" s="15">
        <f t="shared" ca="1" si="38"/>
        <v>-251790.7845579097</v>
      </c>
      <c r="AE89" s="15">
        <f t="shared" si="39"/>
        <v>-30336.239103362612</v>
      </c>
      <c r="AF89" s="34">
        <f t="shared" si="40"/>
        <v>29</v>
      </c>
      <c r="AH89" s="34">
        <v>83</v>
      </c>
      <c r="AI89" s="25">
        <f t="shared" si="41"/>
        <v>83</v>
      </c>
      <c r="AJ89" s="26">
        <f t="shared" si="55"/>
        <v>46827</v>
      </c>
      <c r="AK89" s="27">
        <f t="shared" si="42"/>
        <v>25454545.454545643</v>
      </c>
      <c r="AL89" s="114">
        <f>IF(torlesztes="Egyedi",-SUMIFS(U$7:U$126,T$7:T$126,"&gt;"&amp;AJ88,T$7:T$126,"&lt;="&amp;AJ89),IFERROR(IF(torlesztes="Egyenlő tőke",IF(COUNT($AK$7:AK89)&gt;$D$15,"",-$AK$5/$D$15),0),""))</f>
        <v>-909090.90909090906</v>
      </c>
      <c r="AM89" s="27">
        <f t="shared" ca="1" si="56"/>
        <v>-251790.7845579097</v>
      </c>
      <c r="AN89" s="27">
        <f t="shared" si="57"/>
        <v>25454545.454545643</v>
      </c>
      <c r="AO89" s="27">
        <f>IF(torlesztes="Egyedi",-SUMIFS(U$7:U$126,T$7:T$126,"&gt;"&amp;AJ88,T$7:T$126,"&lt;="&amp;AJ89),IFERROR(IF(torlesztes="Egyenlő tőke",IF(COUNT($AN$7:AN89)&gt;$D$15,"",-$AK$5/$D$15),0),""))</f>
        <v>-909090.90909090906</v>
      </c>
      <c r="AP89" s="27">
        <f t="shared" si="58"/>
        <v>-30336.239103362612</v>
      </c>
      <c r="AR89" s="27">
        <f t="shared" ca="1" si="43"/>
        <v>221454.5454545471</v>
      </c>
      <c r="AS89" s="27">
        <f t="shared" ca="1" si="59"/>
        <v>169167.16707291635</v>
      </c>
      <c r="AT89" s="34">
        <f t="shared" si="44"/>
        <v>29</v>
      </c>
    </row>
    <row r="90" spans="1:46" x14ac:dyDescent="0.25">
      <c r="J90" s="33" t="b">
        <f t="shared" si="49"/>
        <v>0</v>
      </c>
      <c r="L90" s="87"/>
      <c r="M90" s="86"/>
      <c r="N90" s="20" t="str">
        <f t="shared" si="60"/>
        <v/>
      </c>
      <c r="O90" s="9">
        <f t="shared" si="35"/>
        <v>0</v>
      </c>
      <c r="P90" s="9">
        <f t="shared" si="45"/>
        <v>0</v>
      </c>
      <c r="Q90" s="9">
        <f t="shared" si="46"/>
        <v>0</v>
      </c>
      <c r="R90" s="24" t="str">
        <f t="shared" si="47"/>
        <v/>
      </c>
      <c r="S90" s="36"/>
      <c r="T90" s="88"/>
      <c r="U90" s="86"/>
      <c r="V90" s="20" t="str">
        <f t="shared" si="50"/>
        <v/>
      </c>
      <c r="W90" s="9" t="str">
        <f t="shared" si="51"/>
        <v/>
      </c>
      <c r="X90" s="9" t="str">
        <f t="shared" ca="1" si="36"/>
        <v/>
      </c>
      <c r="Y90" s="9" t="str">
        <f t="shared" si="37"/>
        <v/>
      </c>
      <c r="Z90" s="9" t="str">
        <f t="shared" si="48"/>
        <v/>
      </c>
      <c r="AA90" s="74">
        <f t="shared" si="52"/>
        <v>46827</v>
      </c>
      <c r="AB90" s="35">
        <f t="shared" si="53"/>
        <v>0</v>
      </c>
      <c r="AC90" s="35">
        <f t="shared" si="54"/>
        <v>24545454.545454733</v>
      </c>
      <c r="AD90" s="15">
        <f t="shared" ca="1" si="38"/>
        <v>-259542.96388543161</v>
      </c>
      <c r="AE90" s="15">
        <f t="shared" si="39"/>
        <v>-31270.236612702603</v>
      </c>
      <c r="AF90" s="34">
        <f t="shared" si="40"/>
        <v>31</v>
      </c>
      <c r="AH90" s="34">
        <v>84</v>
      </c>
      <c r="AI90" s="25">
        <f t="shared" si="41"/>
        <v>84</v>
      </c>
      <c r="AJ90" s="26">
        <f t="shared" si="55"/>
        <v>46858</v>
      </c>
      <c r="AK90" s="27">
        <f t="shared" si="42"/>
        <v>24545454.545454733</v>
      </c>
      <c r="AL90" s="114">
        <f>IF(torlesztes="Egyedi",-SUMIFS(U$7:U$126,T$7:T$126,"&gt;"&amp;AJ89,T$7:T$126,"&lt;="&amp;AJ90),IFERROR(IF(torlesztes="Egyenlő tőke",IF(COUNT($AK$7:AK90)&gt;$D$15,"",-$AK$5/$D$15),0),""))</f>
        <v>-909090.90909090906</v>
      </c>
      <c r="AM90" s="27">
        <f t="shared" ca="1" si="56"/>
        <v>-259542.96388543161</v>
      </c>
      <c r="AN90" s="27">
        <f t="shared" si="57"/>
        <v>24545454.545454733</v>
      </c>
      <c r="AO90" s="27">
        <f>IF(torlesztes="Egyedi",-SUMIFS(U$7:U$126,T$7:T$126,"&gt;"&amp;AJ89,T$7:T$126,"&lt;="&amp;AJ90),IFERROR(IF(torlesztes="Egyenlő tőke",IF(COUNT($AN$7:AN90)&gt;$D$15,"",-$AK$5/$D$15),0),""))</f>
        <v>-909090.90909090906</v>
      </c>
      <c r="AP90" s="27">
        <f t="shared" si="58"/>
        <v>-31270.236612702603</v>
      </c>
      <c r="AR90" s="27">
        <f t="shared" ca="1" si="43"/>
        <v>228272.72727272901</v>
      </c>
      <c r="AS90" s="27">
        <f t="shared" ca="1" si="59"/>
        <v>173875.62339558374</v>
      </c>
      <c r="AT90" s="34">
        <f t="shared" si="44"/>
        <v>31</v>
      </c>
    </row>
    <row r="91" spans="1:46" x14ac:dyDescent="0.25">
      <c r="J91" s="33" t="b">
        <f t="shared" si="49"/>
        <v>0</v>
      </c>
      <c r="L91" s="87"/>
      <c r="M91" s="86"/>
      <c r="N91" s="20" t="str">
        <f t="shared" si="60"/>
        <v/>
      </c>
      <c r="O91" s="9">
        <f t="shared" si="35"/>
        <v>0</v>
      </c>
      <c r="P91" s="9">
        <f t="shared" si="45"/>
        <v>0</v>
      </c>
      <c r="Q91" s="9">
        <f t="shared" si="46"/>
        <v>0</v>
      </c>
      <c r="R91" s="24" t="str">
        <f t="shared" si="47"/>
        <v/>
      </c>
      <c r="S91" s="36"/>
      <c r="T91" s="88"/>
      <c r="U91" s="86"/>
      <c r="V91" s="20" t="str">
        <f t="shared" si="50"/>
        <v/>
      </c>
      <c r="W91" s="9" t="str">
        <f t="shared" si="51"/>
        <v/>
      </c>
      <c r="X91" s="9" t="str">
        <f t="shared" ca="1" si="36"/>
        <v/>
      </c>
      <c r="Y91" s="9" t="str">
        <f t="shared" si="37"/>
        <v/>
      </c>
      <c r="Z91" s="9" t="str">
        <f t="shared" si="48"/>
        <v/>
      </c>
      <c r="AA91" s="74">
        <f t="shared" si="52"/>
        <v>46858</v>
      </c>
      <c r="AB91" s="35">
        <f t="shared" si="53"/>
        <v>0</v>
      </c>
      <c r="AC91" s="35">
        <f t="shared" si="54"/>
        <v>23636363.636363823</v>
      </c>
      <c r="AD91" s="15">
        <f t="shared" ca="1" si="38"/>
        <v>-241867.99501868183</v>
      </c>
      <c r="AE91" s="15">
        <f t="shared" si="39"/>
        <v>-29140.722291407448</v>
      </c>
      <c r="AF91" s="34">
        <f t="shared" si="40"/>
        <v>30</v>
      </c>
      <c r="AH91" s="34">
        <v>85</v>
      </c>
      <c r="AI91" s="25">
        <f t="shared" si="41"/>
        <v>85</v>
      </c>
      <c r="AJ91" s="26">
        <f t="shared" si="55"/>
        <v>46888</v>
      </c>
      <c r="AK91" s="27">
        <f t="shared" si="42"/>
        <v>23636363.636363823</v>
      </c>
      <c r="AL91" s="114">
        <f>IF(torlesztes="Egyedi",-SUMIFS(U$7:U$126,T$7:T$126,"&gt;"&amp;AJ90,T$7:T$126,"&lt;="&amp;AJ91),IFERROR(IF(torlesztes="Egyenlő tőke",IF(COUNT($AK$7:AK91)&gt;$D$15,"",-$AK$5/$D$15),0),""))</f>
        <v>-909090.90909090906</v>
      </c>
      <c r="AM91" s="27">
        <f t="shared" ca="1" si="56"/>
        <v>-241867.99501868183</v>
      </c>
      <c r="AN91" s="27">
        <f t="shared" si="57"/>
        <v>23636363.636363823</v>
      </c>
      <c r="AO91" s="27">
        <f>IF(torlesztes="Egyedi",-SUMIFS(U$7:U$126,T$7:T$126,"&gt;"&amp;AJ90,T$7:T$126,"&lt;="&amp;AJ91),IFERROR(IF(torlesztes="Egyenlő tőke",IF(COUNT($AN$7:AN91)&gt;$D$15,"",-$AK$5/$D$15),0),""))</f>
        <v>-909090.90909090906</v>
      </c>
      <c r="AP91" s="27">
        <f t="shared" si="58"/>
        <v>-29140.722291407448</v>
      </c>
      <c r="AR91" s="27">
        <f t="shared" ca="1" si="43"/>
        <v>212727.27272727439</v>
      </c>
      <c r="AS91" s="27">
        <f t="shared" ca="1" si="59"/>
        <v>161570.11703485737</v>
      </c>
      <c r="AT91" s="34">
        <f t="shared" si="44"/>
        <v>30</v>
      </c>
    </row>
    <row r="92" spans="1:46" x14ac:dyDescent="0.25">
      <c r="J92" s="33" t="b">
        <f t="shared" si="49"/>
        <v>0</v>
      </c>
      <c r="L92" s="87"/>
      <c r="M92" s="86"/>
      <c r="N92" s="20" t="str">
        <f t="shared" si="60"/>
        <v/>
      </c>
      <c r="O92" s="9">
        <f t="shared" si="35"/>
        <v>0</v>
      </c>
      <c r="P92" s="9">
        <f t="shared" si="45"/>
        <v>0</v>
      </c>
      <c r="Q92" s="9">
        <f t="shared" si="46"/>
        <v>0</v>
      </c>
      <c r="R92" s="24" t="str">
        <f t="shared" si="47"/>
        <v/>
      </c>
      <c r="S92" s="36"/>
      <c r="T92" s="88"/>
      <c r="U92" s="86"/>
      <c r="V92" s="20" t="str">
        <f t="shared" si="50"/>
        <v/>
      </c>
      <c r="W92" s="9" t="str">
        <f t="shared" si="51"/>
        <v/>
      </c>
      <c r="X92" s="9" t="str">
        <f t="shared" ca="1" si="36"/>
        <v/>
      </c>
      <c r="Y92" s="9" t="str">
        <f t="shared" si="37"/>
        <v/>
      </c>
      <c r="Z92" s="9" t="str">
        <f t="shared" si="48"/>
        <v/>
      </c>
      <c r="AA92" s="74">
        <f t="shared" si="52"/>
        <v>46888</v>
      </c>
      <c r="AB92" s="35">
        <f t="shared" si="53"/>
        <v>0</v>
      </c>
      <c r="AC92" s="35">
        <f t="shared" si="54"/>
        <v>22727272.727272913</v>
      </c>
      <c r="AD92" s="15">
        <f t="shared" ca="1" si="38"/>
        <v>-240317.55915317757</v>
      </c>
      <c r="AE92" s="15">
        <f t="shared" si="39"/>
        <v>-28953.922789539462</v>
      </c>
      <c r="AF92" s="34">
        <f t="shared" si="40"/>
        <v>31</v>
      </c>
      <c r="AH92" s="34">
        <v>86</v>
      </c>
      <c r="AI92" s="25">
        <f t="shared" si="41"/>
        <v>86</v>
      </c>
      <c r="AJ92" s="26">
        <f t="shared" si="55"/>
        <v>46919</v>
      </c>
      <c r="AK92" s="27">
        <f t="shared" si="42"/>
        <v>22727272.727272913</v>
      </c>
      <c r="AL92" s="114">
        <f>IF(torlesztes="Egyedi",-SUMIFS(U$7:U$126,T$7:T$126,"&gt;"&amp;AJ91,T$7:T$126,"&lt;="&amp;AJ92),IFERROR(IF(torlesztes="Egyenlő tőke",IF(COUNT($AK$7:AK92)&gt;$D$15,"",-$AK$5/$D$15),0),""))</f>
        <v>-909090.90909090906</v>
      </c>
      <c r="AM92" s="27">
        <f t="shared" ca="1" si="56"/>
        <v>-240317.55915317757</v>
      </c>
      <c r="AN92" s="27">
        <f t="shared" si="57"/>
        <v>22727272.727272913</v>
      </c>
      <c r="AO92" s="27">
        <f>IF(torlesztes="Egyedi",-SUMIFS(U$7:U$126,T$7:T$126,"&gt;"&amp;AJ91,T$7:T$126,"&lt;="&amp;AJ92),IFERROR(IF(torlesztes="Egyenlő tőke",IF(COUNT($AN$7:AN92)&gt;$D$15,"",-$AK$5/$D$15),0),""))</f>
        <v>-909090.90909090906</v>
      </c>
      <c r="AP92" s="27">
        <f t="shared" si="58"/>
        <v>-28953.922789539462</v>
      </c>
      <c r="AR92" s="27">
        <f t="shared" ca="1" si="43"/>
        <v>211363.6363636381</v>
      </c>
      <c r="AS92" s="27">
        <f t="shared" ca="1" si="59"/>
        <v>160074.19783764562</v>
      </c>
      <c r="AT92" s="34">
        <f t="shared" si="44"/>
        <v>31</v>
      </c>
    </row>
    <row r="93" spans="1:46" x14ac:dyDescent="0.25">
      <c r="J93" s="33" t="b">
        <f t="shared" si="49"/>
        <v>0</v>
      </c>
      <c r="L93" s="87"/>
      <c r="M93" s="86"/>
      <c r="N93" s="20" t="str">
        <f t="shared" si="60"/>
        <v/>
      </c>
      <c r="O93" s="9">
        <f t="shared" si="35"/>
        <v>0</v>
      </c>
      <c r="P93" s="9">
        <f t="shared" si="45"/>
        <v>0</v>
      </c>
      <c r="Q93" s="9">
        <f t="shared" si="46"/>
        <v>0</v>
      </c>
      <c r="R93" s="24" t="str">
        <f t="shared" si="47"/>
        <v/>
      </c>
      <c r="S93" s="36"/>
      <c r="T93" s="88"/>
      <c r="U93" s="86"/>
      <c r="V93" s="20" t="str">
        <f t="shared" si="50"/>
        <v/>
      </c>
      <c r="W93" s="9" t="str">
        <f t="shared" si="51"/>
        <v/>
      </c>
      <c r="X93" s="9" t="str">
        <f t="shared" ca="1" si="36"/>
        <v/>
      </c>
      <c r="Y93" s="9" t="str">
        <f t="shared" si="37"/>
        <v/>
      </c>
      <c r="Z93" s="9" t="str">
        <f t="shared" si="48"/>
        <v/>
      </c>
      <c r="AA93" s="74">
        <f t="shared" si="52"/>
        <v>46919</v>
      </c>
      <c r="AB93" s="35">
        <f t="shared" si="53"/>
        <v>0</v>
      </c>
      <c r="AC93" s="35">
        <f t="shared" si="54"/>
        <v>21818181.818182003</v>
      </c>
      <c r="AD93" s="15">
        <f t="shared" ca="1" si="38"/>
        <v>-223262.76463262955</v>
      </c>
      <c r="AE93" s="15">
        <f t="shared" si="39"/>
        <v>-26899.12826899151</v>
      </c>
      <c r="AF93" s="34">
        <f t="shared" si="40"/>
        <v>30</v>
      </c>
      <c r="AH93" s="34">
        <v>87</v>
      </c>
      <c r="AI93" s="25">
        <f t="shared" si="41"/>
        <v>87</v>
      </c>
      <c r="AJ93" s="26">
        <f t="shared" si="55"/>
        <v>46949</v>
      </c>
      <c r="AK93" s="27">
        <f t="shared" si="42"/>
        <v>21818181.818182003</v>
      </c>
      <c r="AL93" s="114">
        <f>IF(torlesztes="Egyedi",-SUMIFS(U$7:U$126,T$7:T$126,"&gt;"&amp;AJ92,T$7:T$126,"&lt;="&amp;AJ93),IFERROR(IF(torlesztes="Egyenlő tőke",IF(COUNT($AK$7:AK93)&gt;$D$15,"",-$AK$5/$D$15),0),""))</f>
        <v>-909090.90909090906</v>
      </c>
      <c r="AM93" s="27">
        <f t="shared" ca="1" si="56"/>
        <v>-223262.76463262955</v>
      </c>
      <c r="AN93" s="27">
        <f t="shared" si="57"/>
        <v>21818181.818182003</v>
      </c>
      <c r="AO93" s="27">
        <f>IF(torlesztes="Egyedi",-SUMIFS(U$7:U$126,T$7:T$126,"&gt;"&amp;AJ92,T$7:T$126,"&lt;="&amp;AJ93),IFERROR(IF(torlesztes="Egyenlő tőke",IF(COUNT($AN$7:AN93)&gt;$D$15,"",-$AK$5/$D$15),0),""))</f>
        <v>-909090.90909090906</v>
      </c>
      <c r="AP93" s="27">
        <f t="shared" si="58"/>
        <v>-26899.12826899151</v>
      </c>
      <c r="AR93" s="27">
        <f t="shared" ca="1" si="43"/>
        <v>196363.63636363804</v>
      </c>
      <c r="AS93" s="27">
        <f t="shared" ca="1" si="59"/>
        <v>148287.76614730054</v>
      </c>
      <c r="AT93" s="34">
        <f t="shared" si="44"/>
        <v>30</v>
      </c>
    </row>
    <row r="94" spans="1:46" x14ac:dyDescent="0.25">
      <c r="J94" s="33" t="b">
        <f t="shared" si="49"/>
        <v>0</v>
      </c>
      <c r="L94" s="87"/>
      <c r="M94" s="86"/>
      <c r="N94" s="20" t="str">
        <f t="shared" si="60"/>
        <v/>
      </c>
      <c r="O94" s="9">
        <f t="shared" si="35"/>
        <v>0</v>
      </c>
      <c r="P94" s="9">
        <f t="shared" si="45"/>
        <v>0</v>
      </c>
      <c r="Q94" s="9">
        <f t="shared" si="46"/>
        <v>0</v>
      </c>
      <c r="R94" s="24" t="str">
        <f t="shared" si="47"/>
        <v/>
      </c>
      <c r="S94" s="36"/>
      <c r="T94" s="88"/>
      <c r="U94" s="86"/>
      <c r="V94" s="20" t="str">
        <f t="shared" si="50"/>
        <v/>
      </c>
      <c r="W94" s="9" t="str">
        <f t="shared" si="51"/>
        <v/>
      </c>
      <c r="X94" s="9" t="str">
        <f t="shared" ca="1" si="36"/>
        <v/>
      </c>
      <c r="Y94" s="9" t="str">
        <f t="shared" si="37"/>
        <v/>
      </c>
      <c r="Z94" s="9" t="str">
        <f t="shared" si="48"/>
        <v/>
      </c>
      <c r="AA94" s="74">
        <f t="shared" si="52"/>
        <v>46949</v>
      </c>
      <c r="AB94" s="35">
        <f t="shared" si="53"/>
        <v>0</v>
      </c>
      <c r="AC94" s="35">
        <f t="shared" si="54"/>
        <v>20909090.909091093</v>
      </c>
      <c r="AD94" s="15">
        <f t="shared" ca="1" si="38"/>
        <v>-221092.1544209235</v>
      </c>
      <c r="AE94" s="15">
        <f t="shared" si="39"/>
        <v>-26637.608966376323</v>
      </c>
      <c r="AF94" s="34">
        <f t="shared" si="40"/>
        <v>31</v>
      </c>
      <c r="AH94" s="34">
        <v>88</v>
      </c>
      <c r="AI94" s="25">
        <f t="shared" si="41"/>
        <v>88</v>
      </c>
      <c r="AJ94" s="26">
        <f t="shared" si="55"/>
        <v>46980</v>
      </c>
      <c r="AK94" s="27">
        <f t="shared" si="42"/>
        <v>20909090.909091093</v>
      </c>
      <c r="AL94" s="114">
        <f>IF(torlesztes="Egyedi",-SUMIFS(U$7:U$126,T$7:T$126,"&gt;"&amp;AJ93,T$7:T$126,"&lt;="&amp;AJ94),IFERROR(IF(torlesztes="Egyenlő tőke",IF(COUNT($AK$7:AK94)&gt;$D$15,"",-$AK$5/$D$15),0),""))</f>
        <v>-909090.90909090906</v>
      </c>
      <c r="AM94" s="27">
        <f t="shared" ca="1" si="56"/>
        <v>-221092.1544209235</v>
      </c>
      <c r="AN94" s="27">
        <f t="shared" si="57"/>
        <v>20909090.909091093</v>
      </c>
      <c r="AO94" s="27">
        <f>IF(torlesztes="Egyedi",-SUMIFS(U$7:U$126,T$7:T$126,"&gt;"&amp;AJ93,T$7:T$126,"&lt;="&amp;AJ94),IFERROR(IF(torlesztes="Egyenlő tőke",IF(COUNT($AN$7:AN94)&gt;$D$15,"",-$AK$5/$D$15),0),""))</f>
        <v>-909090.90909090906</v>
      </c>
      <c r="AP94" s="27">
        <f t="shared" si="58"/>
        <v>-26637.608966376323</v>
      </c>
      <c r="AR94" s="27">
        <f t="shared" ca="1" si="43"/>
        <v>194454.54545454719</v>
      </c>
      <c r="AS94" s="27">
        <f t="shared" ca="1" si="59"/>
        <v>146425.10734835311</v>
      </c>
      <c r="AT94" s="34">
        <f t="shared" si="44"/>
        <v>31</v>
      </c>
    </row>
    <row r="95" spans="1:46" x14ac:dyDescent="0.25">
      <c r="J95" s="33" t="b">
        <f t="shared" si="49"/>
        <v>0</v>
      </c>
      <c r="L95" s="87"/>
      <c r="M95" s="86"/>
      <c r="N95" s="20" t="str">
        <f t="shared" si="60"/>
        <v/>
      </c>
      <c r="O95" s="9">
        <f t="shared" si="35"/>
        <v>0</v>
      </c>
      <c r="P95" s="9">
        <f t="shared" si="45"/>
        <v>0</v>
      </c>
      <c r="Q95" s="9">
        <f t="shared" si="46"/>
        <v>0</v>
      </c>
      <c r="R95" s="24" t="str">
        <f t="shared" si="47"/>
        <v/>
      </c>
      <c r="S95" s="36"/>
      <c r="T95" s="88"/>
      <c r="U95" s="86"/>
      <c r="V95" s="20" t="str">
        <f t="shared" si="50"/>
        <v/>
      </c>
      <c r="W95" s="9" t="str">
        <f t="shared" si="51"/>
        <v/>
      </c>
      <c r="X95" s="9" t="str">
        <f t="shared" ca="1" si="36"/>
        <v/>
      </c>
      <c r="Y95" s="9" t="str">
        <f t="shared" si="37"/>
        <v/>
      </c>
      <c r="Z95" s="9" t="str">
        <f t="shared" si="48"/>
        <v/>
      </c>
      <c r="AA95" s="74">
        <f t="shared" si="52"/>
        <v>46980</v>
      </c>
      <c r="AB95" s="35">
        <f t="shared" si="53"/>
        <v>0</v>
      </c>
      <c r="AC95" s="35">
        <f t="shared" si="54"/>
        <v>20000000.000000183</v>
      </c>
      <c r="AD95" s="15">
        <f t="shared" ca="1" si="38"/>
        <v>-211479.45205479645</v>
      </c>
      <c r="AE95" s="15">
        <f t="shared" si="39"/>
        <v>-25479.45205479475</v>
      </c>
      <c r="AF95" s="34">
        <f t="shared" si="40"/>
        <v>31</v>
      </c>
      <c r="AH95" s="34">
        <v>89</v>
      </c>
      <c r="AI95" s="25">
        <f t="shared" si="41"/>
        <v>89</v>
      </c>
      <c r="AJ95" s="26">
        <f t="shared" si="55"/>
        <v>47011</v>
      </c>
      <c r="AK95" s="27">
        <f t="shared" si="42"/>
        <v>20000000.000000183</v>
      </c>
      <c r="AL95" s="114">
        <f>IF(torlesztes="Egyedi",-SUMIFS(U$7:U$126,T$7:T$126,"&gt;"&amp;AJ94,T$7:T$126,"&lt;="&amp;AJ95),IFERROR(IF(torlesztes="Egyenlő tőke",IF(COUNT($AK$7:AK95)&gt;$D$15,"",-$AK$5/$D$15),0),""))</f>
        <v>-909090.90909090906</v>
      </c>
      <c r="AM95" s="27">
        <f t="shared" ca="1" si="56"/>
        <v>-211479.45205479645</v>
      </c>
      <c r="AN95" s="27">
        <f t="shared" si="57"/>
        <v>20000000.000000183</v>
      </c>
      <c r="AO95" s="27">
        <f>IF(torlesztes="Egyedi",-SUMIFS(U$7:U$126,T$7:T$126,"&gt;"&amp;AJ94,T$7:T$126,"&lt;="&amp;AJ95),IFERROR(IF(torlesztes="Egyenlő tőke",IF(COUNT($AN$7:AN95)&gt;$D$15,"",-$AK$5/$D$15),0),""))</f>
        <v>-909090.90909090906</v>
      </c>
      <c r="AP95" s="27">
        <f t="shared" si="58"/>
        <v>-25479.45205479475</v>
      </c>
      <c r="AR95" s="27">
        <f t="shared" ca="1" si="43"/>
        <v>186000.00000000169</v>
      </c>
      <c r="AS95" s="27">
        <f t="shared" ca="1" si="59"/>
        <v>139657.28364273449</v>
      </c>
      <c r="AT95" s="34">
        <f t="shared" si="44"/>
        <v>31</v>
      </c>
    </row>
    <row r="96" spans="1:46" x14ac:dyDescent="0.25">
      <c r="J96" s="33" t="b">
        <f t="shared" si="49"/>
        <v>0</v>
      </c>
      <c r="L96" s="87"/>
      <c r="M96" s="86"/>
      <c r="N96" s="20" t="str">
        <f t="shared" si="60"/>
        <v/>
      </c>
      <c r="O96" s="9">
        <f t="shared" si="35"/>
        <v>0</v>
      </c>
      <c r="P96" s="9">
        <f t="shared" si="45"/>
        <v>0</v>
      </c>
      <c r="Q96" s="9">
        <f t="shared" si="46"/>
        <v>0</v>
      </c>
      <c r="R96" s="24" t="str">
        <f t="shared" si="47"/>
        <v/>
      </c>
      <c r="S96" s="36"/>
      <c r="T96" s="88"/>
      <c r="U96" s="86"/>
      <c r="V96" s="20" t="str">
        <f t="shared" si="50"/>
        <v/>
      </c>
      <c r="W96" s="9" t="str">
        <f t="shared" si="51"/>
        <v/>
      </c>
      <c r="X96" s="9" t="str">
        <f t="shared" ca="1" si="36"/>
        <v/>
      </c>
      <c r="Y96" s="9" t="str">
        <f t="shared" si="37"/>
        <v/>
      </c>
      <c r="Z96" s="9" t="str">
        <f t="shared" si="48"/>
        <v/>
      </c>
      <c r="AA96" s="74">
        <f t="shared" si="52"/>
        <v>47011</v>
      </c>
      <c r="AB96" s="35">
        <f t="shared" si="53"/>
        <v>0</v>
      </c>
      <c r="AC96" s="35">
        <f t="shared" si="54"/>
        <v>19090909.090909272</v>
      </c>
      <c r="AD96" s="15">
        <f t="shared" ca="1" si="38"/>
        <v>-195354.91905355104</v>
      </c>
      <c r="AE96" s="15">
        <f t="shared" si="39"/>
        <v>-23536.737235367596</v>
      </c>
      <c r="AF96" s="34">
        <f t="shared" si="40"/>
        <v>30</v>
      </c>
      <c r="AH96" s="34">
        <v>90</v>
      </c>
      <c r="AI96" s="25">
        <f t="shared" si="41"/>
        <v>90</v>
      </c>
      <c r="AJ96" s="26">
        <f t="shared" si="55"/>
        <v>47041</v>
      </c>
      <c r="AK96" s="27">
        <f t="shared" si="42"/>
        <v>19090909.090909272</v>
      </c>
      <c r="AL96" s="114">
        <f>IF(torlesztes="Egyedi",-SUMIFS(U$7:U$126,T$7:T$126,"&gt;"&amp;AJ95,T$7:T$126,"&lt;="&amp;AJ96),IFERROR(IF(torlesztes="Egyenlő tőke",IF(COUNT($AK$7:AK96)&gt;$D$15,"",-$AK$5/$D$15),0),""))</f>
        <v>-909090.90909090906</v>
      </c>
      <c r="AM96" s="27">
        <f t="shared" ca="1" si="56"/>
        <v>-195354.91905355104</v>
      </c>
      <c r="AN96" s="27">
        <f t="shared" si="57"/>
        <v>19090909.090909272</v>
      </c>
      <c r="AO96" s="27">
        <f>IF(torlesztes="Egyedi",-SUMIFS(U$7:U$126,T$7:T$126,"&gt;"&amp;AJ95,T$7:T$126,"&lt;="&amp;AJ96),IFERROR(IF(torlesztes="Egyenlő tőke",IF(COUNT($AN$7:AN96)&gt;$D$15,"",-$AK$5/$D$15),0),""))</f>
        <v>-909090.90909090906</v>
      </c>
      <c r="AP96" s="27">
        <f t="shared" si="58"/>
        <v>-23536.737235367596</v>
      </c>
      <c r="AR96" s="27">
        <f t="shared" ca="1" si="43"/>
        <v>171818.18181818345</v>
      </c>
      <c r="AS96" s="27">
        <f t="shared" ca="1" si="59"/>
        <v>128639.09032049392</v>
      </c>
      <c r="AT96" s="34">
        <f t="shared" si="44"/>
        <v>30</v>
      </c>
    </row>
    <row r="97" spans="10:46" x14ac:dyDescent="0.25">
      <c r="J97" s="33" t="b">
        <f t="shared" si="49"/>
        <v>0</v>
      </c>
      <c r="L97" s="87"/>
      <c r="M97" s="86"/>
      <c r="N97" s="20" t="str">
        <f t="shared" si="60"/>
        <v/>
      </c>
      <c r="O97" s="9">
        <f t="shared" si="35"/>
        <v>0</v>
      </c>
      <c r="P97" s="9">
        <f t="shared" si="45"/>
        <v>0</v>
      </c>
      <c r="Q97" s="9">
        <f t="shared" si="46"/>
        <v>0</v>
      </c>
      <c r="R97" s="24" t="str">
        <f t="shared" si="47"/>
        <v/>
      </c>
      <c r="S97" s="36"/>
      <c r="T97" s="88"/>
      <c r="U97" s="86"/>
      <c r="V97" s="20" t="str">
        <f t="shared" si="50"/>
        <v/>
      </c>
      <c r="W97" s="9" t="str">
        <f t="shared" si="51"/>
        <v/>
      </c>
      <c r="X97" s="9" t="str">
        <f t="shared" ca="1" si="36"/>
        <v/>
      </c>
      <c r="Y97" s="9" t="str">
        <f t="shared" si="37"/>
        <v/>
      </c>
      <c r="Z97" s="9" t="str">
        <f t="shared" si="48"/>
        <v/>
      </c>
      <c r="AA97" s="74">
        <f t="shared" si="52"/>
        <v>47041</v>
      </c>
      <c r="AB97" s="35">
        <f t="shared" si="53"/>
        <v>0</v>
      </c>
      <c r="AC97" s="35">
        <f t="shared" si="54"/>
        <v>18181818.181818362</v>
      </c>
      <c r="AD97" s="15">
        <f t="shared" ca="1" si="38"/>
        <v>-192254.04732254238</v>
      </c>
      <c r="AE97" s="15">
        <f t="shared" si="39"/>
        <v>-23163.138231631612</v>
      </c>
      <c r="AF97" s="34">
        <f t="shared" si="40"/>
        <v>31</v>
      </c>
      <c r="AH97" s="34">
        <v>91</v>
      </c>
      <c r="AI97" s="25">
        <f t="shared" si="41"/>
        <v>91</v>
      </c>
      <c r="AJ97" s="26">
        <f t="shared" si="55"/>
        <v>47072</v>
      </c>
      <c r="AK97" s="27">
        <f t="shared" si="42"/>
        <v>18181818.181818362</v>
      </c>
      <c r="AL97" s="114">
        <f>IF(torlesztes="Egyedi",-SUMIFS(U$7:U$126,T$7:T$126,"&gt;"&amp;AJ96,T$7:T$126,"&lt;="&amp;AJ97),IFERROR(IF(torlesztes="Egyenlő tőke",IF(COUNT($AK$7:AK97)&gt;$D$15,"",-$AK$5/$D$15),0),""))</f>
        <v>-909090.90909090906</v>
      </c>
      <c r="AM97" s="27">
        <f t="shared" ca="1" si="56"/>
        <v>-192254.04732254238</v>
      </c>
      <c r="AN97" s="27">
        <f t="shared" si="57"/>
        <v>18181818.181818362</v>
      </c>
      <c r="AO97" s="27">
        <f>IF(torlesztes="Egyedi",-SUMIFS(U$7:U$126,T$7:T$126,"&gt;"&amp;AJ96,T$7:T$126,"&lt;="&amp;AJ97),IFERROR(IF(torlesztes="Egyenlő tőke",IF(COUNT($AN$7:AN97)&gt;$D$15,"",-$AK$5/$D$15),0),""))</f>
        <v>-909090.90909090906</v>
      </c>
      <c r="AP97" s="27">
        <f t="shared" si="58"/>
        <v>-23163.138231631612</v>
      </c>
      <c r="AR97" s="27">
        <f t="shared" ca="1" si="43"/>
        <v>169090.90909091078</v>
      </c>
      <c r="AS97" s="27">
        <f t="shared" ca="1" si="59"/>
        <v>126234.2764531437</v>
      </c>
      <c r="AT97" s="34">
        <f t="shared" si="44"/>
        <v>31</v>
      </c>
    </row>
    <row r="98" spans="10:46" x14ac:dyDescent="0.25">
      <c r="J98" s="33" t="b">
        <f t="shared" si="49"/>
        <v>0</v>
      </c>
      <c r="L98" s="87"/>
      <c r="M98" s="86"/>
      <c r="N98" s="20" t="str">
        <f t="shared" si="60"/>
        <v/>
      </c>
      <c r="O98" s="9">
        <f t="shared" si="35"/>
        <v>0</v>
      </c>
      <c r="P98" s="9">
        <f t="shared" si="45"/>
        <v>0</v>
      </c>
      <c r="Q98" s="9">
        <f t="shared" si="46"/>
        <v>0</v>
      </c>
      <c r="R98" s="24" t="str">
        <f t="shared" si="47"/>
        <v/>
      </c>
      <c r="S98" s="36"/>
      <c r="T98" s="88"/>
      <c r="U98" s="86"/>
      <c r="V98" s="20" t="str">
        <f t="shared" si="50"/>
        <v/>
      </c>
      <c r="W98" s="9" t="str">
        <f t="shared" si="51"/>
        <v/>
      </c>
      <c r="X98" s="9" t="str">
        <f t="shared" ca="1" si="36"/>
        <v/>
      </c>
      <c r="Y98" s="9" t="str">
        <f t="shared" si="37"/>
        <v/>
      </c>
      <c r="Z98" s="9" t="str">
        <f t="shared" si="48"/>
        <v/>
      </c>
      <c r="AA98" s="74">
        <f t="shared" si="52"/>
        <v>47072</v>
      </c>
      <c r="AB98" s="35">
        <f t="shared" si="53"/>
        <v>0</v>
      </c>
      <c r="AC98" s="35">
        <f t="shared" si="54"/>
        <v>17272727.272727452</v>
      </c>
      <c r="AD98" s="15">
        <f t="shared" ca="1" si="38"/>
        <v>-176749.68866749873</v>
      </c>
      <c r="AE98" s="15">
        <f t="shared" si="39"/>
        <v>-21295.143212951651</v>
      </c>
      <c r="AF98" s="34">
        <f t="shared" si="40"/>
        <v>30</v>
      </c>
      <c r="AH98" s="34">
        <v>92</v>
      </c>
      <c r="AI98" s="25">
        <f t="shared" si="41"/>
        <v>92</v>
      </c>
      <c r="AJ98" s="26">
        <f t="shared" si="55"/>
        <v>47102</v>
      </c>
      <c r="AK98" s="27">
        <f t="shared" si="42"/>
        <v>17272727.272727452</v>
      </c>
      <c r="AL98" s="114">
        <f>IF(torlesztes="Egyedi",-SUMIFS(U$7:U$126,T$7:T$126,"&gt;"&amp;AJ97,T$7:T$126,"&lt;="&amp;AJ98),IFERROR(IF(torlesztes="Egyenlő tőke",IF(COUNT($AK$7:AK98)&gt;$D$15,"",-$AK$5/$D$15),0),""))</f>
        <v>-909090.90909090906</v>
      </c>
      <c r="AM98" s="27">
        <f t="shared" ca="1" si="56"/>
        <v>-176749.68866749873</v>
      </c>
      <c r="AN98" s="27">
        <f t="shared" si="57"/>
        <v>17272727.272727452</v>
      </c>
      <c r="AO98" s="27">
        <f>IF(torlesztes="Egyedi",-SUMIFS(U$7:U$126,T$7:T$126,"&gt;"&amp;AJ97,T$7:T$126,"&lt;="&amp;AJ98),IFERROR(IF(torlesztes="Egyenlő tőke",IF(COUNT($AN$7:AN98)&gt;$D$15,"",-$AK$5/$D$15),0),""))</f>
        <v>-909090.90909090906</v>
      </c>
      <c r="AP98" s="27">
        <f t="shared" si="58"/>
        <v>-21295.143212951651</v>
      </c>
      <c r="AR98" s="27">
        <f t="shared" ca="1" si="43"/>
        <v>155454.54545454707</v>
      </c>
      <c r="AS98" s="27">
        <f t="shared" ca="1" si="59"/>
        <v>115721.39386086281</v>
      </c>
      <c r="AT98" s="34">
        <f t="shared" si="44"/>
        <v>30</v>
      </c>
    </row>
    <row r="99" spans="10:46" x14ac:dyDescent="0.25">
      <c r="J99" s="33" t="b">
        <f t="shared" si="49"/>
        <v>0</v>
      </c>
      <c r="L99" s="87"/>
      <c r="M99" s="86"/>
      <c r="N99" s="20" t="str">
        <f t="shared" si="60"/>
        <v/>
      </c>
      <c r="O99" s="9">
        <f t="shared" si="35"/>
        <v>0</v>
      </c>
      <c r="P99" s="9">
        <f t="shared" si="45"/>
        <v>0</v>
      </c>
      <c r="Q99" s="9">
        <f t="shared" si="46"/>
        <v>0</v>
      </c>
      <c r="R99" s="24" t="str">
        <f t="shared" si="47"/>
        <v/>
      </c>
      <c r="S99" s="36"/>
      <c r="T99" s="88"/>
      <c r="U99" s="86"/>
      <c r="V99" s="20" t="str">
        <f t="shared" si="50"/>
        <v/>
      </c>
      <c r="W99" s="9" t="str">
        <f t="shared" si="51"/>
        <v/>
      </c>
      <c r="X99" s="9" t="str">
        <f t="shared" ca="1" si="36"/>
        <v/>
      </c>
      <c r="Y99" s="9" t="str">
        <f t="shared" si="37"/>
        <v/>
      </c>
      <c r="Z99" s="9" t="str">
        <f t="shared" si="48"/>
        <v/>
      </c>
      <c r="AA99" s="74">
        <f t="shared" si="52"/>
        <v>47102</v>
      </c>
      <c r="AB99" s="35">
        <f t="shared" si="53"/>
        <v>0</v>
      </c>
      <c r="AC99" s="35">
        <f t="shared" si="54"/>
        <v>16363636.363636544</v>
      </c>
      <c r="AD99" s="15">
        <f t="shared" ca="1" si="38"/>
        <v>-173028.64259028833</v>
      </c>
      <c r="AE99" s="15">
        <f t="shared" si="39"/>
        <v>-20846.82440846847</v>
      </c>
      <c r="AF99" s="34">
        <f t="shared" si="40"/>
        <v>31</v>
      </c>
      <c r="AH99" s="34">
        <v>93</v>
      </c>
      <c r="AI99" s="25">
        <f t="shared" si="41"/>
        <v>93</v>
      </c>
      <c r="AJ99" s="26">
        <f t="shared" si="55"/>
        <v>47133</v>
      </c>
      <c r="AK99" s="27">
        <f t="shared" si="42"/>
        <v>16363636.363636544</v>
      </c>
      <c r="AL99" s="114">
        <f>IF(torlesztes="Egyedi",-SUMIFS(U$7:U$126,T$7:T$126,"&gt;"&amp;AJ98,T$7:T$126,"&lt;="&amp;AJ99),IFERROR(IF(torlesztes="Egyenlő tőke",IF(COUNT($AK$7:AK99)&gt;$D$15,"",-$AK$5/$D$15),0),""))</f>
        <v>-909090.90909090906</v>
      </c>
      <c r="AM99" s="27">
        <f t="shared" ca="1" si="56"/>
        <v>-173028.64259028833</v>
      </c>
      <c r="AN99" s="27">
        <f t="shared" si="57"/>
        <v>16363636.363636544</v>
      </c>
      <c r="AO99" s="27">
        <f>IF(torlesztes="Egyedi",-SUMIFS(U$7:U$126,T$7:T$126,"&gt;"&amp;AJ98,T$7:T$126,"&lt;="&amp;AJ99),IFERROR(IF(torlesztes="Egyenlő tőke",IF(COUNT($AN$7:AN99)&gt;$D$15,"",-$AK$5/$D$15),0),""))</f>
        <v>-909090.90909090906</v>
      </c>
      <c r="AP99" s="27">
        <f t="shared" si="58"/>
        <v>-20846.82440846847</v>
      </c>
      <c r="AR99" s="27">
        <f t="shared" ca="1" si="43"/>
        <v>152181.81818181986</v>
      </c>
      <c r="AS99" s="27">
        <f t="shared" ca="1" si="59"/>
        <v>112960.39286063354</v>
      </c>
      <c r="AT99" s="34">
        <f t="shared" si="44"/>
        <v>31</v>
      </c>
    </row>
    <row r="100" spans="10:46" x14ac:dyDescent="0.25">
      <c r="J100" s="33" t="b">
        <f t="shared" si="49"/>
        <v>0</v>
      </c>
      <c r="L100" s="87"/>
      <c r="M100" s="86"/>
      <c r="N100" s="20" t="str">
        <f t="shared" si="60"/>
        <v/>
      </c>
      <c r="O100" s="9">
        <f t="shared" si="35"/>
        <v>0</v>
      </c>
      <c r="P100" s="9">
        <f t="shared" si="45"/>
        <v>0</v>
      </c>
      <c r="Q100" s="9">
        <f t="shared" si="46"/>
        <v>0</v>
      </c>
      <c r="R100" s="24" t="str">
        <f t="shared" si="47"/>
        <v/>
      </c>
      <c r="S100" s="36"/>
      <c r="T100" s="88"/>
      <c r="U100" s="86"/>
      <c r="V100" s="20" t="str">
        <f t="shared" si="50"/>
        <v/>
      </c>
      <c r="W100" s="9" t="str">
        <f t="shared" si="51"/>
        <v/>
      </c>
      <c r="X100" s="9" t="str">
        <f t="shared" ca="1" si="36"/>
        <v/>
      </c>
      <c r="Y100" s="9" t="str">
        <f t="shared" si="37"/>
        <v/>
      </c>
      <c r="Z100" s="9" t="str">
        <f t="shared" si="48"/>
        <v/>
      </c>
      <c r="AA100" s="74">
        <f t="shared" si="52"/>
        <v>47133</v>
      </c>
      <c r="AB100" s="35">
        <f t="shared" si="53"/>
        <v>0</v>
      </c>
      <c r="AC100" s="35">
        <f t="shared" si="54"/>
        <v>15454545.454545636</v>
      </c>
      <c r="AD100" s="15">
        <f t="shared" ca="1" si="38"/>
        <v>-163415.94022416128</v>
      </c>
      <c r="AE100" s="15">
        <f t="shared" si="39"/>
        <v>-19688.667496886908</v>
      </c>
      <c r="AF100" s="34">
        <f t="shared" si="40"/>
        <v>31</v>
      </c>
      <c r="AH100" s="34">
        <v>94</v>
      </c>
      <c r="AI100" s="25">
        <f t="shared" si="41"/>
        <v>94</v>
      </c>
      <c r="AJ100" s="26">
        <f t="shared" si="55"/>
        <v>47164</v>
      </c>
      <c r="AK100" s="27">
        <f t="shared" si="42"/>
        <v>15454545.454545636</v>
      </c>
      <c r="AL100" s="114">
        <f>IF(torlesztes="Egyedi",-SUMIFS(U$7:U$126,T$7:T$126,"&gt;"&amp;AJ99,T$7:T$126,"&lt;="&amp;AJ100),IFERROR(IF(torlesztes="Egyenlő tőke",IF(COUNT($AK$7:AK100)&gt;$D$15,"",-$AK$5/$D$15),0),""))</f>
        <v>-909090.90909090906</v>
      </c>
      <c r="AM100" s="27">
        <f t="shared" ca="1" si="56"/>
        <v>-163415.94022416128</v>
      </c>
      <c r="AN100" s="27">
        <f t="shared" si="57"/>
        <v>15454545.454545636</v>
      </c>
      <c r="AO100" s="27">
        <f>IF(torlesztes="Egyedi",-SUMIFS(U$7:U$126,T$7:T$126,"&gt;"&amp;AJ99,T$7:T$126,"&lt;="&amp;AJ100),IFERROR(IF(torlesztes="Egyenlő tőke",IF(COUNT($AN$7:AN100)&gt;$D$15,"",-$AK$5/$D$15),0),""))</f>
        <v>-909090.90909090906</v>
      </c>
      <c r="AP100" s="27">
        <f t="shared" si="58"/>
        <v>-19688.667496886908</v>
      </c>
      <c r="AR100" s="27">
        <f t="shared" ca="1" si="43"/>
        <v>143727.27272727437</v>
      </c>
      <c r="AS100" s="27">
        <f t="shared" ca="1" si="59"/>
        <v>106378.97592370662</v>
      </c>
      <c r="AT100" s="34">
        <f t="shared" si="44"/>
        <v>31</v>
      </c>
    </row>
    <row r="101" spans="10:46" x14ac:dyDescent="0.25">
      <c r="J101" s="33" t="b">
        <f t="shared" si="49"/>
        <v>0</v>
      </c>
      <c r="L101" s="87"/>
      <c r="M101" s="86"/>
      <c r="N101" s="20" t="str">
        <f t="shared" si="60"/>
        <v/>
      </c>
      <c r="O101" s="9">
        <f t="shared" si="35"/>
        <v>0</v>
      </c>
      <c r="P101" s="9">
        <f t="shared" si="45"/>
        <v>0</v>
      </c>
      <c r="Q101" s="9">
        <f t="shared" si="46"/>
        <v>0</v>
      </c>
      <c r="R101" s="24" t="str">
        <f t="shared" si="47"/>
        <v/>
      </c>
      <c r="S101" s="36"/>
      <c r="T101" s="88"/>
      <c r="U101" s="86"/>
      <c r="V101" s="20" t="str">
        <f t="shared" si="50"/>
        <v/>
      </c>
      <c r="W101" s="9" t="str">
        <f t="shared" si="51"/>
        <v/>
      </c>
      <c r="X101" s="9" t="str">
        <f t="shared" ca="1" si="36"/>
        <v/>
      </c>
      <c r="Y101" s="9" t="str">
        <f t="shared" si="37"/>
        <v/>
      </c>
      <c r="Z101" s="9" t="str">
        <f t="shared" si="48"/>
        <v/>
      </c>
      <c r="AA101" s="74">
        <f t="shared" si="52"/>
        <v>47164</v>
      </c>
      <c r="AB101" s="35">
        <f t="shared" si="53"/>
        <v>0</v>
      </c>
      <c r="AC101" s="35">
        <f t="shared" si="54"/>
        <v>14545454.545454727</v>
      </c>
      <c r="AD101" s="15">
        <f t="shared" ca="1" si="38"/>
        <v>-138919.05354919229</v>
      </c>
      <c r="AE101" s="15">
        <f t="shared" si="39"/>
        <v>-16737.235367372563</v>
      </c>
      <c r="AF101" s="34">
        <f t="shared" si="40"/>
        <v>28</v>
      </c>
      <c r="AH101" s="34">
        <v>95</v>
      </c>
      <c r="AI101" s="25">
        <f t="shared" si="41"/>
        <v>95</v>
      </c>
      <c r="AJ101" s="26">
        <f t="shared" si="55"/>
        <v>47192</v>
      </c>
      <c r="AK101" s="27">
        <f t="shared" si="42"/>
        <v>14545454.545454727</v>
      </c>
      <c r="AL101" s="114">
        <f>IF(torlesztes="Egyedi",-SUMIFS(U$7:U$126,T$7:T$126,"&gt;"&amp;AJ100,T$7:T$126,"&lt;="&amp;AJ101),IFERROR(IF(torlesztes="Egyenlő tőke",IF(COUNT($AK$7:AK101)&gt;$D$15,"",-$AK$5/$D$15),0),""))</f>
        <v>-909090.90909090906</v>
      </c>
      <c r="AM101" s="27">
        <f t="shared" ca="1" si="56"/>
        <v>-138919.05354919229</v>
      </c>
      <c r="AN101" s="27">
        <f t="shared" si="57"/>
        <v>14545454.545454727</v>
      </c>
      <c r="AO101" s="27">
        <f>IF(torlesztes="Egyedi",-SUMIFS(U$7:U$126,T$7:T$126,"&gt;"&amp;AJ100,T$7:T$126,"&lt;="&amp;AJ101),IFERROR(IF(torlesztes="Egyenlő tőke",IF(COUNT($AN$7:AN101)&gt;$D$15,"",-$AK$5/$D$15),0),""))</f>
        <v>-909090.90909090906</v>
      </c>
      <c r="AP101" s="27">
        <f t="shared" si="58"/>
        <v>-16737.235367372563</v>
      </c>
      <c r="AR101" s="27">
        <f t="shared" ca="1" si="43"/>
        <v>122181.81818181973</v>
      </c>
      <c r="AS101" s="27">
        <f t="shared" ca="1" si="59"/>
        <v>90172.975113665161</v>
      </c>
      <c r="AT101" s="34">
        <f t="shared" si="44"/>
        <v>28</v>
      </c>
    </row>
    <row r="102" spans="10:46" x14ac:dyDescent="0.25">
      <c r="J102" s="33" t="b">
        <f t="shared" si="49"/>
        <v>0</v>
      </c>
      <c r="L102" s="87"/>
      <c r="M102" s="86"/>
      <c r="N102" s="20" t="str">
        <f t="shared" si="60"/>
        <v/>
      </c>
      <c r="O102" s="9">
        <f t="shared" si="35"/>
        <v>0</v>
      </c>
      <c r="P102" s="9">
        <f t="shared" si="45"/>
        <v>0</v>
      </c>
      <c r="Q102" s="9">
        <f t="shared" si="46"/>
        <v>0</v>
      </c>
      <c r="R102" s="24" t="str">
        <f t="shared" si="47"/>
        <v/>
      </c>
      <c r="S102" s="36"/>
      <c r="T102" s="88"/>
      <c r="U102" s="86"/>
      <c r="V102" s="20" t="str">
        <f t="shared" si="50"/>
        <v/>
      </c>
      <c r="W102" s="9" t="str">
        <f t="shared" si="51"/>
        <v/>
      </c>
      <c r="X102" s="9" t="str">
        <f t="shared" ca="1" si="36"/>
        <v/>
      </c>
      <c r="Y102" s="9" t="str">
        <f t="shared" si="37"/>
        <v/>
      </c>
      <c r="Z102" s="9" t="str">
        <f t="shared" si="48"/>
        <v/>
      </c>
      <c r="AA102" s="74">
        <f t="shared" si="52"/>
        <v>47192</v>
      </c>
      <c r="AB102" s="35">
        <f t="shared" si="53"/>
        <v>0</v>
      </c>
      <c r="AC102" s="35">
        <f t="shared" si="54"/>
        <v>13636363.636363819</v>
      </c>
      <c r="AD102" s="15">
        <f t="shared" ca="1" si="38"/>
        <v>-144190.5354919073</v>
      </c>
      <c r="AE102" s="15">
        <f t="shared" si="39"/>
        <v>-17372.35367372377</v>
      </c>
      <c r="AF102" s="34">
        <f t="shared" si="40"/>
        <v>31</v>
      </c>
      <c r="AH102" s="34">
        <v>96</v>
      </c>
      <c r="AI102" s="25">
        <f t="shared" si="41"/>
        <v>96</v>
      </c>
      <c r="AJ102" s="26">
        <f t="shared" si="55"/>
        <v>47223</v>
      </c>
      <c r="AK102" s="27">
        <f t="shared" si="42"/>
        <v>13636363.636363819</v>
      </c>
      <c r="AL102" s="114">
        <f>IF(torlesztes="Egyedi",-SUMIFS(U$7:U$126,T$7:T$126,"&gt;"&amp;AJ101,T$7:T$126,"&lt;="&amp;AJ102),IFERROR(IF(torlesztes="Egyenlő tőke",IF(COUNT($AK$7:AK102)&gt;$D$15,"",-$AK$5/$D$15),0),""))</f>
        <v>-909090.90909090906</v>
      </c>
      <c r="AM102" s="27">
        <f t="shared" ca="1" si="56"/>
        <v>-144190.5354919073</v>
      </c>
      <c r="AN102" s="27">
        <f t="shared" si="57"/>
        <v>13636363.636363819</v>
      </c>
      <c r="AO102" s="27">
        <f>IF(torlesztes="Egyedi",-SUMIFS(U$7:U$126,T$7:T$126,"&gt;"&amp;AJ101,T$7:T$126,"&lt;="&amp;AJ102),IFERROR(IF(torlesztes="Egyenlő tőke",IF(COUNT($AN$7:AN102)&gt;$D$15,"",-$AK$5/$D$15),0),""))</f>
        <v>-909090.90909090906</v>
      </c>
      <c r="AP102" s="27">
        <f t="shared" si="58"/>
        <v>-17372.35367372377</v>
      </c>
      <c r="AR102" s="27">
        <f t="shared" ca="1" si="43"/>
        <v>126818.18181818353</v>
      </c>
      <c r="AS102" s="27">
        <f t="shared" ca="1" si="59"/>
        <v>93326.40406121315</v>
      </c>
      <c r="AT102" s="34">
        <f t="shared" si="44"/>
        <v>31</v>
      </c>
    </row>
    <row r="103" spans="10:46" x14ac:dyDescent="0.25">
      <c r="J103" s="33" t="b">
        <f t="shared" si="49"/>
        <v>0</v>
      </c>
      <c r="L103" s="87"/>
      <c r="M103" s="86"/>
      <c r="N103" s="20" t="str">
        <f t="shared" si="60"/>
        <v/>
      </c>
      <c r="O103" s="9">
        <f t="shared" si="35"/>
        <v>0</v>
      </c>
      <c r="P103" s="9">
        <f t="shared" ref="P103:P126" si="61">IF(AND(ISBLANK(L102),AH103&lt;&gt;1),0,IFERROR(-O103*piacikamat/365*(IF(ISBLANK(L103),$C$27,L103)-N103),""))</f>
        <v>0</v>
      </c>
      <c r="Q103" s="9">
        <f t="shared" ref="Q103:Q126" si="62">IF(AND(ISBLANK(L102),AH103&lt;&gt;1),0,IFERROR(-O103*tenylegeskamat/365*(IF(ISBLANK(L103),$C$27,L103)-N103),""))</f>
        <v>0</v>
      </c>
      <c r="R103" s="24" t="str">
        <f t="shared" ref="R103:R126" si="63">IFERROR(IF(ISBLANK(L103),$C$27,L103)-N103,"")</f>
        <v/>
      </c>
      <c r="S103" s="36"/>
      <c r="T103" s="88"/>
      <c r="U103" s="86"/>
      <c r="V103" s="20" t="str">
        <f t="shared" si="50"/>
        <v/>
      </c>
      <c r="W103" s="9" t="str">
        <f t="shared" si="51"/>
        <v/>
      </c>
      <c r="X103" s="9" t="str">
        <f t="shared" ca="1" si="36"/>
        <v/>
      </c>
      <c r="Y103" s="9" t="str">
        <f t="shared" si="37"/>
        <v/>
      </c>
      <c r="Z103" s="9" t="str">
        <f t="shared" si="48"/>
        <v/>
      </c>
      <c r="AA103" s="74">
        <f t="shared" si="52"/>
        <v>47223</v>
      </c>
      <c r="AB103" s="35">
        <f t="shared" si="53"/>
        <v>0</v>
      </c>
      <c r="AC103" s="35">
        <f t="shared" si="54"/>
        <v>12727272.727272911</v>
      </c>
      <c r="AD103" s="15">
        <f t="shared" ca="1" si="38"/>
        <v>-130236.61270236799</v>
      </c>
      <c r="AE103" s="15">
        <f t="shared" si="39"/>
        <v>-15691.158156911804</v>
      </c>
      <c r="AF103" s="34">
        <f t="shared" si="40"/>
        <v>30</v>
      </c>
      <c r="AH103" s="34">
        <v>97</v>
      </c>
      <c r="AI103" s="25">
        <f t="shared" si="41"/>
        <v>97</v>
      </c>
      <c r="AJ103" s="26">
        <f t="shared" si="55"/>
        <v>47253</v>
      </c>
      <c r="AK103" s="27">
        <f t="shared" si="42"/>
        <v>12727272.727272911</v>
      </c>
      <c r="AL103" s="114">
        <f>IF(torlesztes="Egyedi",-SUMIFS(U$7:U$126,T$7:T$126,"&gt;"&amp;AJ102,T$7:T$126,"&lt;="&amp;AJ103),IFERROR(IF(torlesztes="Egyenlő tőke",IF(COUNT($AK$7:AK103)&gt;$D$15,"",-$AK$5/$D$15),0),""))</f>
        <v>-909090.90909090906</v>
      </c>
      <c r="AM103" s="27">
        <f t="shared" ca="1" si="56"/>
        <v>-130236.61270236799</v>
      </c>
      <c r="AN103" s="27">
        <f t="shared" si="57"/>
        <v>12727272.727272911</v>
      </c>
      <c r="AO103" s="27">
        <f>IF(torlesztes="Egyedi",-SUMIFS(U$7:U$126,T$7:T$126,"&gt;"&amp;AJ102,T$7:T$126,"&lt;="&amp;AJ103),IFERROR(IF(torlesztes="Egyenlő tőke",IF(COUNT($AN$7:AN103)&gt;$D$15,"",-$AK$5/$D$15),0),""))</f>
        <v>-909090.90909090906</v>
      </c>
      <c r="AP103" s="27">
        <f t="shared" si="58"/>
        <v>-15691.158156911804</v>
      </c>
      <c r="AR103" s="27">
        <f t="shared" ca="1" si="43"/>
        <v>114545.45454545619</v>
      </c>
      <c r="AS103" s="27">
        <f t="shared" ca="1" si="59"/>
        <v>84053.163725706996</v>
      </c>
      <c r="AT103" s="34">
        <f t="shared" si="44"/>
        <v>30</v>
      </c>
    </row>
    <row r="104" spans="10:46" x14ac:dyDescent="0.25">
      <c r="J104" s="33" t="b">
        <f t="shared" si="49"/>
        <v>0</v>
      </c>
      <c r="L104" s="87"/>
      <c r="M104" s="86"/>
      <c r="N104" s="20" t="str">
        <f t="shared" si="60"/>
        <v/>
      </c>
      <c r="O104" s="9">
        <f t="shared" si="35"/>
        <v>0</v>
      </c>
      <c r="P104" s="9">
        <f t="shared" si="61"/>
        <v>0</v>
      </c>
      <c r="Q104" s="9">
        <f t="shared" si="62"/>
        <v>0</v>
      </c>
      <c r="R104" s="24" t="str">
        <f t="shared" si="63"/>
        <v/>
      </c>
      <c r="S104" s="36"/>
      <c r="T104" s="88"/>
      <c r="U104" s="86"/>
      <c r="V104" s="20" t="str">
        <f t="shared" si="50"/>
        <v/>
      </c>
      <c r="W104" s="9" t="str">
        <f t="shared" si="51"/>
        <v/>
      </c>
      <c r="X104" s="9" t="str">
        <f t="shared" ca="1" si="36"/>
        <v/>
      </c>
      <c r="Y104" s="9" t="str">
        <f t="shared" si="37"/>
        <v/>
      </c>
      <c r="Z104" s="9" t="str">
        <f t="shared" si="48"/>
        <v/>
      </c>
      <c r="AA104" s="74">
        <f t="shared" si="52"/>
        <v>47253</v>
      </c>
      <c r="AB104" s="35">
        <f t="shared" si="53"/>
        <v>0</v>
      </c>
      <c r="AC104" s="35">
        <f t="shared" si="54"/>
        <v>11818181.818182003</v>
      </c>
      <c r="AD104" s="15">
        <f t="shared" ca="1" si="38"/>
        <v>-124965.13075965326</v>
      </c>
      <c r="AE104" s="15">
        <f t="shared" si="39"/>
        <v>-15056.039850560632</v>
      </c>
      <c r="AF104" s="34">
        <f t="shared" si="40"/>
        <v>31</v>
      </c>
      <c r="AH104" s="34">
        <v>98</v>
      </c>
      <c r="AI104" s="25">
        <f t="shared" si="41"/>
        <v>98</v>
      </c>
      <c r="AJ104" s="26">
        <f t="shared" ref="AJ104:AJ126" si="64">IF(OR(AJ103=$C$28,AJ103=""),"",IFERROR(IF(EDATE($C$27,(AH104-1)*12/$D$19)&lt;=$C$28,EDATE($C$27,(AH104-1)*12/$D$19),$C$28),""))</f>
        <v>47284</v>
      </c>
      <c r="AK104" s="27">
        <f t="shared" si="42"/>
        <v>11818181.818182003</v>
      </c>
      <c r="AL104" s="114">
        <f>IF(torlesztes="Egyedi",-SUMIFS(U$7:U$126,T$7:T$126,"&gt;"&amp;AJ103,T$7:T$126,"&lt;="&amp;AJ104),IFERROR(IF(torlesztes="Egyenlő tőke",IF(COUNT($AK$7:AK104)&gt;$D$15,"",-$AK$5/$D$15),0),""))</f>
        <v>-909090.90909090906</v>
      </c>
      <c r="AM104" s="27">
        <f t="shared" ref="AM104:AM126" ca="1" si="65">IF(torlesztes="Egyedi",SUMIFS(X$7:X$126,T$7:T$126,"&gt;"&amp;AJ103,T$7:T$126,"&lt;="&amp;AJ104)+AD104,IFERROR(-AK104*piacikamat/365*(AJ104-AJ103),""))</f>
        <v>-124965.13075965326</v>
      </c>
      <c r="AN104" s="27">
        <f t="shared" si="57"/>
        <v>11818181.818182003</v>
      </c>
      <c r="AO104" s="27">
        <f>IF(torlesztes="Egyedi",-SUMIFS(U$7:U$126,T$7:T$126,"&gt;"&amp;AJ103,T$7:T$126,"&lt;="&amp;AJ104),IFERROR(IF(torlesztes="Egyenlő tőke",IF(COUNT($AN$7:AN104)&gt;$D$15,"",-$AK$5/$D$15),0),""))</f>
        <v>-909090.90909090906</v>
      </c>
      <c r="AP104" s="27">
        <f t="shared" ref="AP104:AP126" si="66">IF(torlesztes="Egyedi",SUMIFS(Y$7:Y$126,T$7:T$126,"&gt;"&amp;AJ103,T$7:T$126,"&lt;="&amp;AJ104)+AE104,IFERROR(-AN104*tenylegeskamat/365*(AJ104-AJ103),""))</f>
        <v>-15056.039850560632</v>
      </c>
      <c r="AR104" s="27">
        <f t="shared" ca="1" si="43"/>
        <v>109909.09090909263</v>
      </c>
      <c r="AS104" s="27">
        <f t="shared" ref="AS104:AS126" ca="1" si="67">IFERROR(AR104/POWER(1+($C$11+1%)/$D$19,AI104-1)/(1+($C$11+1%)/365*($AJ$7-$C$25)),"")</f>
        <v>80419.804921469738</v>
      </c>
      <c r="AT104" s="34">
        <f t="shared" si="44"/>
        <v>31</v>
      </c>
    </row>
    <row r="105" spans="10:46" x14ac:dyDescent="0.25">
      <c r="J105" s="33" t="b">
        <f t="shared" si="49"/>
        <v>0</v>
      </c>
      <c r="L105" s="87"/>
      <c r="M105" s="86"/>
      <c r="N105" s="20" t="str">
        <f t="shared" si="60"/>
        <v/>
      </c>
      <c r="O105" s="9">
        <f t="shared" si="35"/>
        <v>0</v>
      </c>
      <c r="P105" s="9">
        <f t="shared" si="61"/>
        <v>0</v>
      </c>
      <c r="Q105" s="9">
        <f t="shared" si="62"/>
        <v>0</v>
      </c>
      <c r="R105" s="24" t="str">
        <f t="shared" si="63"/>
        <v/>
      </c>
      <c r="S105" s="36"/>
      <c r="T105" s="88"/>
      <c r="U105" s="86"/>
      <c r="V105" s="20" t="str">
        <f t="shared" si="50"/>
        <v/>
      </c>
      <c r="W105" s="9" t="str">
        <f t="shared" si="51"/>
        <v/>
      </c>
      <c r="X105" s="9" t="str">
        <f t="shared" ca="1" si="36"/>
        <v/>
      </c>
      <c r="Y105" s="9" t="str">
        <f t="shared" si="37"/>
        <v/>
      </c>
      <c r="Z105" s="9" t="str">
        <f t="shared" si="48"/>
        <v/>
      </c>
      <c r="AA105" s="74">
        <f t="shared" si="52"/>
        <v>47284</v>
      </c>
      <c r="AB105" s="35">
        <f t="shared" si="53"/>
        <v>0</v>
      </c>
      <c r="AC105" s="35">
        <f t="shared" si="54"/>
        <v>10909090.909091095</v>
      </c>
      <c r="AD105" s="15">
        <f t="shared" ca="1" si="38"/>
        <v>-111631.38231631572</v>
      </c>
      <c r="AE105" s="15">
        <f t="shared" si="39"/>
        <v>-13449.564134495869</v>
      </c>
      <c r="AF105" s="34">
        <f t="shared" si="40"/>
        <v>30</v>
      </c>
      <c r="AH105" s="34">
        <v>99</v>
      </c>
      <c r="AI105" s="25">
        <f t="shared" si="41"/>
        <v>99</v>
      </c>
      <c r="AJ105" s="26">
        <f t="shared" si="64"/>
        <v>47314</v>
      </c>
      <c r="AK105" s="27">
        <f t="shared" si="42"/>
        <v>10909090.909091095</v>
      </c>
      <c r="AL105" s="114">
        <f>IF(torlesztes="Egyedi",-SUMIFS(U$7:U$126,T$7:T$126,"&gt;"&amp;AJ104,T$7:T$126,"&lt;="&amp;AJ105),IFERROR(IF(torlesztes="Egyenlő tőke",IF(COUNT($AK$7:AK105)&gt;$D$15,"",-$AK$5/$D$15),0),""))</f>
        <v>-909090.90909090906</v>
      </c>
      <c r="AM105" s="27">
        <f t="shared" ca="1" si="65"/>
        <v>-111631.38231631572</v>
      </c>
      <c r="AN105" s="27">
        <f t="shared" si="57"/>
        <v>10909090.909091095</v>
      </c>
      <c r="AO105" s="27">
        <f>IF(torlesztes="Egyedi",-SUMIFS(U$7:U$126,T$7:T$126,"&gt;"&amp;AJ104,T$7:T$126,"&lt;="&amp;AJ105),IFERROR(IF(torlesztes="Egyenlő tőke",IF(COUNT($AN$7:AN105)&gt;$D$15,"",-$AK$5/$D$15),0),""))</f>
        <v>-909090.90909090906</v>
      </c>
      <c r="AP105" s="27">
        <f t="shared" si="66"/>
        <v>-13449.564134495869</v>
      </c>
      <c r="AR105" s="27">
        <f t="shared" ca="1" si="43"/>
        <v>98181.81818181985</v>
      </c>
      <c r="AS105" s="27">
        <f t="shared" ca="1" si="67"/>
        <v>71633.086567753315</v>
      </c>
      <c r="AT105" s="34">
        <f t="shared" si="44"/>
        <v>30</v>
      </c>
    </row>
    <row r="106" spans="10:46" x14ac:dyDescent="0.25">
      <c r="J106" s="33" t="b">
        <f t="shared" si="49"/>
        <v>0</v>
      </c>
      <c r="L106" s="87"/>
      <c r="M106" s="86"/>
      <c r="N106" s="20" t="str">
        <f t="shared" si="60"/>
        <v/>
      </c>
      <c r="O106" s="9">
        <f t="shared" si="35"/>
        <v>0</v>
      </c>
      <c r="P106" s="9">
        <f t="shared" si="61"/>
        <v>0</v>
      </c>
      <c r="Q106" s="9">
        <f t="shared" si="62"/>
        <v>0</v>
      </c>
      <c r="R106" s="24" t="str">
        <f t="shared" si="63"/>
        <v/>
      </c>
      <c r="S106" s="36"/>
      <c r="T106" s="88"/>
      <c r="U106" s="86"/>
      <c r="V106" s="20" t="str">
        <f t="shared" si="50"/>
        <v/>
      </c>
      <c r="W106" s="9" t="str">
        <f t="shared" si="51"/>
        <v/>
      </c>
      <c r="X106" s="9" t="str">
        <f t="shared" ca="1" si="36"/>
        <v/>
      </c>
      <c r="Y106" s="9" t="str">
        <f t="shared" si="37"/>
        <v/>
      </c>
      <c r="Z106" s="9" t="str">
        <f t="shared" si="48"/>
        <v/>
      </c>
      <c r="AA106" s="74">
        <f t="shared" si="52"/>
        <v>47314</v>
      </c>
      <c r="AB106" s="35">
        <f t="shared" si="53"/>
        <v>0</v>
      </c>
      <c r="AC106" s="35">
        <f t="shared" si="54"/>
        <v>10000000.000000186</v>
      </c>
      <c r="AD106" s="15">
        <f t="shared" ca="1" si="38"/>
        <v>-105739.72602739924</v>
      </c>
      <c r="AE106" s="15">
        <f t="shared" si="39"/>
        <v>-12739.726027397497</v>
      </c>
      <c r="AF106" s="34">
        <f t="shared" si="40"/>
        <v>31</v>
      </c>
      <c r="AH106" s="34">
        <v>100</v>
      </c>
      <c r="AI106" s="25">
        <f t="shared" si="41"/>
        <v>100</v>
      </c>
      <c r="AJ106" s="26">
        <f t="shared" si="64"/>
        <v>47345</v>
      </c>
      <c r="AK106" s="27">
        <f t="shared" si="42"/>
        <v>10000000.000000186</v>
      </c>
      <c r="AL106" s="114">
        <f>IF(torlesztes="Egyedi",-SUMIFS(U$7:U$126,T$7:T$126,"&gt;"&amp;AJ105,T$7:T$126,"&lt;="&amp;AJ106),IFERROR(IF(torlesztes="Egyenlő tőke",IF(COUNT($AK$7:AK106)&gt;$D$15,"",-$AK$5/$D$15),0),""))</f>
        <v>-909090.90909090906</v>
      </c>
      <c r="AM106" s="27">
        <f t="shared" ca="1" si="65"/>
        <v>-105739.72602739924</v>
      </c>
      <c r="AN106" s="27">
        <f t="shared" si="57"/>
        <v>10000000.000000186</v>
      </c>
      <c r="AO106" s="27">
        <f>IF(torlesztes="Egyedi",-SUMIFS(U$7:U$126,T$7:T$126,"&gt;"&amp;AJ105,T$7:T$126,"&lt;="&amp;AJ106),IFERROR(IF(torlesztes="Egyenlő tőke",IF(COUNT($AN$7:AN106)&gt;$D$15,"",-$AK$5/$D$15),0),""))</f>
        <v>-909090.90909090906</v>
      </c>
      <c r="AP106" s="27">
        <f t="shared" si="66"/>
        <v>-12739.726027397497</v>
      </c>
      <c r="AR106" s="27">
        <f t="shared" ca="1" si="43"/>
        <v>93000.000000001746</v>
      </c>
      <c r="AS106" s="27">
        <f t="shared" ca="1" si="67"/>
        <v>67657.934880562607</v>
      </c>
      <c r="AT106" s="34">
        <f t="shared" si="44"/>
        <v>31</v>
      </c>
    </row>
    <row r="107" spans="10:46" x14ac:dyDescent="0.25">
      <c r="J107" s="33" t="b">
        <f t="shared" si="49"/>
        <v>0</v>
      </c>
      <c r="L107" s="87"/>
      <c r="M107" s="86"/>
      <c r="N107" s="20" t="str">
        <f t="shared" si="60"/>
        <v/>
      </c>
      <c r="O107" s="9">
        <f t="shared" si="35"/>
        <v>0</v>
      </c>
      <c r="P107" s="9">
        <f t="shared" si="61"/>
        <v>0</v>
      </c>
      <c r="Q107" s="9">
        <f t="shared" si="62"/>
        <v>0</v>
      </c>
      <c r="R107" s="24" t="str">
        <f t="shared" si="63"/>
        <v/>
      </c>
      <c r="S107" s="36"/>
      <c r="T107" s="88"/>
      <c r="U107" s="86"/>
      <c r="V107" s="20" t="str">
        <f t="shared" si="50"/>
        <v/>
      </c>
      <c r="W107" s="9" t="str">
        <f t="shared" si="51"/>
        <v/>
      </c>
      <c r="X107" s="9" t="str">
        <f t="shared" ca="1" si="36"/>
        <v/>
      </c>
      <c r="Y107" s="9" t="str">
        <f t="shared" si="37"/>
        <v/>
      </c>
      <c r="Z107" s="9" t="str">
        <f t="shared" si="48"/>
        <v/>
      </c>
      <c r="AA107" s="74">
        <f t="shared" si="52"/>
        <v>47345</v>
      </c>
      <c r="AB107" s="35">
        <f t="shared" si="53"/>
        <v>0</v>
      </c>
      <c r="AC107" s="35">
        <f t="shared" si="54"/>
        <v>9090909.090909278</v>
      </c>
      <c r="AD107" s="15">
        <f t="shared" ca="1" si="38"/>
        <v>-96127.023661272222</v>
      </c>
      <c r="AE107" s="15">
        <f t="shared" si="39"/>
        <v>-11581.569115815932</v>
      </c>
      <c r="AF107" s="34">
        <f t="shared" si="40"/>
        <v>31</v>
      </c>
      <c r="AH107" s="34">
        <v>101</v>
      </c>
      <c r="AI107" s="25">
        <f t="shared" si="41"/>
        <v>101</v>
      </c>
      <c r="AJ107" s="26">
        <f t="shared" si="64"/>
        <v>47376</v>
      </c>
      <c r="AK107" s="27">
        <f t="shared" si="42"/>
        <v>9090909.090909278</v>
      </c>
      <c r="AL107" s="114">
        <f>IF(torlesztes="Egyedi",-SUMIFS(U$7:U$126,T$7:T$126,"&gt;"&amp;AJ106,T$7:T$126,"&lt;="&amp;AJ107),IFERROR(IF(torlesztes="Egyenlő tőke",IF(COUNT($AK$7:AK107)&gt;$D$15,"",-$AK$5/$D$15),0),""))</f>
        <v>-909090.90909090906</v>
      </c>
      <c r="AM107" s="27">
        <f t="shared" ca="1" si="65"/>
        <v>-96127.023661272222</v>
      </c>
      <c r="AN107" s="27">
        <f t="shared" si="57"/>
        <v>9090909.090909278</v>
      </c>
      <c r="AO107" s="27">
        <f>IF(torlesztes="Egyedi",-SUMIFS(U$7:U$126,T$7:T$126,"&gt;"&amp;AJ106,T$7:T$126,"&lt;="&amp;AJ107),IFERROR(IF(torlesztes="Egyenlő tőke",IF(COUNT($AN$7:AN107)&gt;$D$15,"",-$AK$5/$D$15),0),""))</f>
        <v>-909090.90909090906</v>
      </c>
      <c r="AP107" s="27">
        <f t="shared" si="66"/>
        <v>-11581.569115815932</v>
      </c>
      <c r="AR107" s="27">
        <f t="shared" ca="1" si="43"/>
        <v>84545.45454545629</v>
      </c>
      <c r="AS107" s="27">
        <f t="shared" ca="1" si="67"/>
        <v>61330.887227006657</v>
      </c>
      <c r="AT107" s="34">
        <f t="shared" si="44"/>
        <v>31</v>
      </c>
    </row>
    <row r="108" spans="10:46" x14ac:dyDescent="0.25">
      <c r="J108" s="33" t="b">
        <f t="shared" si="49"/>
        <v>0</v>
      </c>
      <c r="L108" s="87"/>
      <c r="M108" s="86"/>
      <c r="N108" s="20" t="str">
        <f t="shared" si="60"/>
        <v/>
      </c>
      <c r="O108" s="9">
        <f t="shared" si="35"/>
        <v>0</v>
      </c>
      <c r="P108" s="9">
        <f t="shared" si="61"/>
        <v>0</v>
      </c>
      <c r="Q108" s="9">
        <f t="shared" si="62"/>
        <v>0</v>
      </c>
      <c r="R108" s="24" t="str">
        <f t="shared" si="63"/>
        <v/>
      </c>
      <c r="S108" s="36"/>
      <c r="T108" s="88"/>
      <c r="U108" s="86"/>
      <c r="V108" s="20" t="str">
        <f t="shared" si="50"/>
        <v/>
      </c>
      <c r="W108" s="9" t="str">
        <f t="shared" si="51"/>
        <v/>
      </c>
      <c r="X108" s="9" t="str">
        <f t="shared" ca="1" si="36"/>
        <v/>
      </c>
      <c r="Y108" s="9" t="str">
        <f t="shared" si="37"/>
        <v/>
      </c>
      <c r="Z108" s="9" t="str">
        <f t="shared" si="48"/>
        <v/>
      </c>
      <c r="AA108" s="74">
        <f t="shared" si="52"/>
        <v>47376</v>
      </c>
      <c r="AB108" s="35">
        <f t="shared" si="53"/>
        <v>0</v>
      </c>
      <c r="AC108" s="35">
        <f t="shared" si="54"/>
        <v>8181818.1818183688</v>
      </c>
      <c r="AD108" s="15">
        <f t="shared" ca="1" si="38"/>
        <v>-83723.536737237286</v>
      </c>
      <c r="AE108" s="15">
        <f t="shared" si="39"/>
        <v>-10087.173100871962</v>
      </c>
      <c r="AF108" s="34">
        <f t="shared" si="40"/>
        <v>30</v>
      </c>
      <c r="AH108" s="34">
        <v>102</v>
      </c>
      <c r="AI108" s="25">
        <f t="shared" si="41"/>
        <v>102</v>
      </c>
      <c r="AJ108" s="26">
        <f t="shared" si="64"/>
        <v>47406</v>
      </c>
      <c r="AK108" s="27">
        <f t="shared" si="42"/>
        <v>8181818.1818183688</v>
      </c>
      <c r="AL108" s="114">
        <f>IF(torlesztes="Egyedi",-SUMIFS(U$7:U$126,T$7:T$126,"&gt;"&amp;AJ107,T$7:T$126,"&lt;="&amp;AJ108),IFERROR(IF(torlesztes="Egyenlő tőke",IF(COUNT($AK$7:AK108)&gt;$D$15,"",-$AK$5/$D$15),0),""))</f>
        <v>-909090.90909090906</v>
      </c>
      <c r="AM108" s="27">
        <f t="shared" ca="1" si="65"/>
        <v>-83723.536737237286</v>
      </c>
      <c r="AN108" s="27">
        <f t="shared" si="57"/>
        <v>8181818.1818183688</v>
      </c>
      <c r="AO108" s="27">
        <f>IF(torlesztes="Egyedi",-SUMIFS(U$7:U$126,T$7:T$126,"&gt;"&amp;AJ107,T$7:T$126,"&lt;="&amp;AJ108),IFERROR(IF(torlesztes="Egyenlő tőke",IF(COUNT($AN$7:AN108)&gt;$D$15,"",-$AK$5/$D$15),0),""))</f>
        <v>-909090.90909090906</v>
      </c>
      <c r="AP108" s="27">
        <f t="shared" si="66"/>
        <v>-10087.173100871962</v>
      </c>
      <c r="AR108" s="27">
        <f t="shared" ca="1" si="43"/>
        <v>73636.36363636532</v>
      </c>
      <c r="AS108" s="27">
        <f t="shared" ca="1" si="67"/>
        <v>53264.090099968518</v>
      </c>
      <c r="AT108" s="34">
        <f t="shared" si="44"/>
        <v>30</v>
      </c>
    </row>
    <row r="109" spans="10:46" x14ac:dyDescent="0.25">
      <c r="J109" s="33" t="b">
        <f t="shared" si="49"/>
        <v>0</v>
      </c>
      <c r="L109" s="87"/>
      <c r="M109" s="86"/>
      <c r="N109" s="20" t="str">
        <f t="shared" si="60"/>
        <v/>
      </c>
      <c r="O109" s="9">
        <f t="shared" si="35"/>
        <v>0</v>
      </c>
      <c r="P109" s="9">
        <f t="shared" si="61"/>
        <v>0</v>
      </c>
      <c r="Q109" s="9">
        <f t="shared" si="62"/>
        <v>0</v>
      </c>
      <c r="R109" s="24" t="str">
        <f t="shared" si="63"/>
        <v/>
      </c>
      <c r="S109" s="36"/>
      <c r="T109" s="88"/>
      <c r="U109" s="86"/>
      <c r="V109" s="20" t="str">
        <f t="shared" si="50"/>
        <v/>
      </c>
      <c r="W109" s="9" t="str">
        <f t="shared" si="51"/>
        <v/>
      </c>
      <c r="X109" s="9" t="str">
        <f t="shared" ca="1" si="36"/>
        <v/>
      </c>
      <c r="Y109" s="9" t="str">
        <f t="shared" si="37"/>
        <v/>
      </c>
      <c r="Z109" s="9" t="str">
        <f t="shared" si="48"/>
        <v/>
      </c>
      <c r="AA109" s="74">
        <f t="shared" si="52"/>
        <v>47406</v>
      </c>
      <c r="AB109" s="35">
        <f t="shared" si="53"/>
        <v>0</v>
      </c>
      <c r="AC109" s="35">
        <f t="shared" si="54"/>
        <v>7272727.2727274597</v>
      </c>
      <c r="AD109" s="15">
        <f t="shared" ca="1" si="38"/>
        <v>-76901.618929018165</v>
      </c>
      <c r="AE109" s="15">
        <f t="shared" si="39"/>
        <v>-9265.2552926527915</v>
      </c>
      <c r="AF109" s="34">
        <f t="shared" si="40"/>
        <v>31</v>
      </c>
      <c r="AH109" s="34">
        <v>103</v>
      </c>
      <c r="AI109" s="25">
        <f t="shared" si="41"/>
        <v>103</v>
      </c>
      <c r="AJ109" s="26">
        <f t="shared" si="64"/>
        <v>47437</v>
      </c>
      <c r="AK109" s="27">
        <f t="shared" si="42"/>
        <v>7272727.2727274597</v>
      </c>
      <c r="AL109" s="114">
        <f>IF(torlesztes="Egyedi",-SUMIFS(U$7:U$126,T$7:T$126,"&gt;"&amp;AJ108,T$7:T$126,"&lt;="&amp;AJ109),IFERROR(IF(torlesztes="Egyenlő tőke",IF(COUNT($AK$7:AK109)&gt;$D$15,"",-$AK$5/$D$15),0),""))</f>
        <v>-909090.90909090906</v>
      </c>
      <c r="AM109" s="27">
        <f t="shared" ca="1" si="65"/>
        <v>-76901.618929018165</v>
      </c>
      <c r="AN109" s="27">
        <f t="shared" si="57"/>
        <v>7272727.2727274597</v>
      </c>
      <c r="AO109" s="27">
        <f>IF(torlesztes="Egyedi",-SUMIFS(U$7:U$126,T$7:T$126,"&gt;"&amp;AJ108,T$7:T$126,"&lt;="&amp;AJ109),IFERROR(IF(torlesztes="Egyenlő tőke",IF(COUNT($AN$7:AN109)&gt;$D$15,"",-$AK$5/$D$15),0),""))</f>
        <v>-909090.90909090906</v>
      </c>
      <c r="AP109" s="27">
        <f t="shared" si="66"/>
        <v>-9265.2552926527915</v>
      </c>
      <c r="AR109" s="27">
        <f t="shared" ca="1" si="43"/>
        <v>67636.363636365379</v>
      </c>
      <c r="AS109" s="27">
        <f t="shared" ca="1" si="67"/>
        <v>48783.799704709068</v>
      </c>
      <c r="AT109" s="34">
        <f t="shared" si="44"/>
        <v>31</v>
      </c>
    </row>
    <row r="110" spans="10:46" x14ac:dyDescent="0.25">
      <c r="J110" s="33" t="b">
        <f t="shared" si="49"/>
        <v>0</v>
      </c>
      <c r="L110" s="87"/>
      <c r="M110" s="86"/>
      <c r="N110" s="20" t="str">
        <f t="shared" si="60"/>
        <v/>
      </c>
      <c r="O110" s="9">
        <f t="shared" si="35"/>
        <v>0</v>
      </c>
      <c r="P110" s="9">
        <f t="shared" si="61"/>
        <v>0</v>
      </c>
      <c r="Q110" s="9">
        <f t="shared" si="62"/>
        <v>0</v>
      </c>
      <c r="R110" s="24" t="str">
        <f t="shared" si="63"/>
        <v/>
      </c>
      <c r="S110" s="36"/>
      <c r="T110" s="88"/>
      <c r="U110" s="86"/>
      <c r="V110" s="20" t="str">
        <f t="shared" si="50"/>
        <v/>
      </c>
      <c r="W110" s="9" t="str">
        <f t="shared" si="51"/>
        <v/>
      </c>
      <c r="X110" s="9" t="str">
        <f t="shared" ca="1" si="36"/>
        <v/>
      </c>
      <c r="Y110" s="9" t="str">
        <f t="shared" si="37"/>
        <v/>
      </c>
      <c r="Z110" s="9" t="str">
        <f t="shared" si="48"/>
        <v/>
      </c>
      <c r="AA110" s="74">
        <f t="shared" si="52"/>
        <v>47437</v>
      </c>
      <c r="AB110" s="35">
        <f t="shared" si="53"/>
        <v>0</v>
      </c>
      <c r="AC110" s="35">
        <f t="shared" si="54"/>
        <v>6363636.3636365505</v>
      </c>
      <c r="AD110" s="15">
        <f t="shared" ca="1" si="38"/>
        <v>-65118.306351184976</v>
      </c>
      <c r="AE110" s="15">
        <f t="shared" si="39"/>
        <v>-7845.5790784560204</v>
      </c>
      <c r="AF110" s="34">
        <f t="shared" si="40"/>
        <v>30</v>
      </c>
      <c r="AH110" s="34">
        <v>104</v>
      </c>
      <c r="AI110" s="25">
        <f t="shared" si="41"/>
        <v>104</v>
      </c>
      <c r="AJ110" s="26">
        <f t="shared" si="64"/>
        <v>47467</v>
      </c>
      <c r="AK110" s="27">
        <f t="shared" si="42"/>
        <v>6363636.3636365505</v>
      </c>
      <c r="AL110" s="114">
        <f>IF(torlesztes="Egyedi",-SUMIFS(U$7:U$126,T$7:T$126,"&gt;"&amp;AJ109,T$7:T$126,"&lt;="&amp;AJ110),IFERROR(IF(torlesztes="Egyenlő tőke",IF(COUNT($AK$7:AK110)&gt;$D$15,"",-$AK$5/$D$15),0),""))</f>
        <v>-909090.90909090906</v>
      </c>
      <c r="AM110" s="27">
        <f t="shared" ca="1" si="65"/>
        <v>-65118.306351184976</v>
      </c>
      <c r="AN110" s="27">
        <f t="shared" si="57"/>
        <v>6363636.3636365505</v>
      </c>
      <c r="AO110" s="27">
        <f>IF(torlesztes="Egyedi",-SUMIFS(U$7:U$126,T$7:T$126,"&gt;"&amp;AJ109,T$7:T$126,"&lt;="&amp;AJ110),IFERROR(IF(torlesztes="Egyenlő tőke",IF(COUNT($AN$7:AN110)&gt;$D$15,"",-$AK$5/$D$15),0),""))</f>
        <v>-909090.90909090906</v>
      </c>
      <c r="AP110" s="27">
        <f t="shared" si="66"/>
        <v>-7845.5790784560204</v>
      </c>
      <c r="AR110" s="27">
        <f t="shared" ca="1" si="43"/>
        <v>57272.727272728953</v>
      </c>
      <c r="AS110" s="27">
        <f t="shared" ca="1" si="67"/>
        <v>41190.440137785088</v>
      </c>
      <c r="AT110" s="34">
        <f t="shared" si="44"/>
        <v>30</v>
      </c>
    </row>
    <row r="111" spans="10:46" x14ac:dyDescent="0.25">
      <c r="J111" s="33" t="b">
        <f t="shared" si="49"/>
        <v>0</v>
      </c>
      <c r="L111" s="87"/>
      <c r="M111" s="86"/>
      <c r="N111" s="20" t="str">
        <f t="shared" si="60"/>
        <v/>
      </c>
      <c r="O111" s="9">
        <f t="shared" ref="O111:O126" si="68">IF(ISBLANK(L110),0,M110+O110)</f>
        <v>0</v>
      </c>
      <c r="P111" s="9">
        <f t="shared" si="61"/>
        <v>0</v>
      </c>
      <c r="Q111" s="9">
        <f t="shared" si="62"/>
        <v>0</v>
      </c>
      <c r="R111" s="24" t="str">
        <f t="shared" si="63"/>
        <v/>
      </c>
      <c r="S111" s="36"/>
      <c r="T111" s="88"/>
      <c r="U111" s="86"/>
      <c r="V111" s="20" t="str">
        <f t="shared" si="50"/>
        <v/>
      </c>
      <c r="W111" s="9" t="str">
        <f t="shared" si="51"/>
        <v/>
      </c>
      <c r="X111" s="9" t="str">
        <f t="shared" ref="X111:X126" ca="1" si="69">IFERROR(-W111*piacikamat/365*(T111-V111),"")</f>
        <v/>
      </c>
      <c r="Y111" s="9" t="str">
        <f t="shared" ref="Y111:Y126" si="70">IFERROR(-W111*tenylegeskamat/365*(T111-V111),"")</f>
        <v/>
      </c>
      <c r="Z111" s="9" t="str">
        <f t="shared" si="48"/>
        <v/>
      </c>
      <c r="AA111" s="74">
        <f t="shared" si="52"/>
        <v>47467</v>
      </c>
      <c r="AB111" s="35">
        <f t="shared" si="53"/>
        <v>0</v>
      </c>
      <c r="AC111" s="35">
        <f t="shared" si="54"/>
        <v>5454545.4545456413</v>
      </c>
      <c r="AD111" s="15">
        <f t="shared" ref="AD111:AD126" ca="1" si="71">IFERROR(-(AC111-AB111)*piacikamat/365*(AJ111-AA111),0)</f>
        <v>-57676.214196764115</v>
      </c>
      <c r="AE111" s="15">
        <f t="shared" ref="AE111:AE126" si="72">IFERROR(-(AC111-AB111)*tenylegeskamat/365*(AJ111-AA111),0)</f>
        <v>-6948.9414694896523</v>
      </c>
      <c r="AF111" s="34">
        <f t="shared" ref="AF111:AF126" si="73">IFERROR(AJ111-AA111,"")</f>
        <v>31</v>
      </c>
      <c r="AH111" s="34">
        <v>105</v>
      </c>
      <c r="AI111" s="25">
        <f t="shared" ref="AI111:AI126" si="74">IF(COUNT(AJ111)=1,AI110+1,"")</f>
        <v>105</v>
      </c>
      <c r="AJ111" s="26">
        <f t="shared" si="64"/>
        <v>47498</v>
      </c>
      <c r="AK111" s="27">
        <f t="shared" ref="AK111:AK126" si="75">+IF(COUNT(AK110)&lt;&gt;0,SUM(AK110:AL110)*(1-J111),"")</f>
        <v>5454545.4545456413</v>
      </c>
      <c r="AL111" s="114">
        <f>IF(torlesztes="Egyedi",-SUMIFS(U$7:U$126,T$7:T$126,"&gt;"&amp;AJ110,T$7:T$126,"&lt;="&amp;AJ111),IFERROR(IF(torlesztes="Egyenlő tőke",IF(COUNT($AK$7:AK111)&gt;$D$15,"",-$AK$5/$D$15),0),""))</f>
        <v>-909090.90909090906</v>
      </c>
      <c r="AM111" s="27">
        <f t="shared" ca="1" si="65"/>
        <v>-57676.214196764115</v>
      </c>
      <c r="AN111" s="27">
        <f t="shared" si="57"/>
        <v>5454545.4545456413</v>
      </c>
      <c r="AO111" s="27">
        <f>IF(torlesztes="Egyedi",-SUMIFS(U$7:U$126,T$7:T$126,"&gt;"&amp;AJ110,T$7:T$126,"&lt;="&amp;AJ111),IFERROR(IF(torlesztes="Egyenlő tőke",IF(COUNT($AN$7:AN111)&gt;$D$15,"",-$AK$5/$D$15),0),""))</f>
        <v>-909090.90909090906</v>
      </c>
      <c r="AP111" s="27">
        <f t="shared" si="66"/>
        <v>-6948.9414694896523</v>
      </c>
      <c r="AR111" s="27">
        <f t="shared" ref="AR111:AR126" ca="1" si="76">IFERROR(MAX((ABS(AM111)-ABS(AP111)),0),"")</f>
        <v>50727.27272727446</v>
      </c>
      <c r="AS111" s="27">
        <f t="shared" ca="1" si="67"/>
        <v>36378.373441251933</v>
      </c>
      <c r="AT111" s="34">
        <f t="shared" ref="AT111:AT126" si="77">IFERROR(AJ111-AJ110,"")</f>
        <v>31</v>
      </c>
    </row>
    <row r="112" spans="10:46" x14ac:dyDescent="0.25">
      <c r="J112" s="33" t="b">
        <f t="shared" si="49"/>
        <v>0</v>
      </c>
      <c r="L112" s="87"/>
      <c r="M112" s="86"/>
      <c r="N112" s="20" t="str">
        <f t="shared" si="60"/>
        <v/>
      </c>
      <c r="O112" s="9">
        <f t="shared" si="68"/>
        <v>0</v>
      </c>
      <c r="P112" s="9">
        <f t="shared" si="61"/>
        <v>0</v>
      </c>
      <c r="Q112" s="9">
        <f t="shared" si="62"/>
        <v>0</v>
      </c>
      <c r="R112" s="24" t="str">
        <f t="shared" si="63"/>
        <v/>
      </c>
      <c r="S112" s="36"/>
      <c r="T112" s="88"/>
      <c r="U112" s="86"/>
      <c r="V112" s="20" t="str">
        <f t="shared" si="50"/>
        <v/>
      </c>
      <c r="W112" s="9" t="str">
        <f t="shared" si="51"/>
        <v/>
      </c>
      <c r="X112" s="9" t="str">
        <f t="shared" ca="1" si="69"/>
        <v/>
      </c>
      <c r="Y112" s="9" t="str">
        <f t="shared" si="70"/>
        <v/>
      </c>
      <c r="Z112" s="9" t="str">
        <f t="shared" si="48"/>
        <v/>
      </c>
      <c r="AA112" s="74">
        <f t="shared" si="52"/>
        <v>47498</v>
      </c>
      <c r="AB112" s="35">
        <f t="shared" si="53"/>
        <v>0</v>
      </c>
      <c r="AC112" s="35">
        <f t="shared" si="54"/>
        <v>4545454.5454547321</v>
      </c>
      <c r="AD112" s="15">
        <f t="shared" ca="1" si="71"/>
        <v>-48063.511830637093</v>
      </c>
      <c r="AE112" s="15">
        <f t="shared" si="72"/>
        <v>-5790.7845579080831</v>
      </c>
      <c r="AF112" s="34">
        <f t="shared" si="73"/>
        <v>31</v>
      </c>
      <c r="AH112" s="34">
        <v>106</v>
      </c>
      <c r="AI112" s="25">
        <f t="shared" si="74"/>
        <v>106</v>
      </c>
      <c r="AJ112" s="26">
        <f t="shared" si="64"/>
        <v>47529</v>
      </c>
      <c r="AK112" s="27">
        <f t="shared" si="75"/>
        <v>4545454.5454547321</v>
      </c>
      <c r="AL112" s="114">
        <f>IF(torlesztes="Egyedi",-SUMIFS(U$7:U$126,T$7:T$126,"&gt;"&amp;AJ111,T$7:T$126,"&lt;="&amp;AJ112),IFERROR(IF(torlesztes="Egyenlő tőke",IF(COUNT($AK$7:AK112)&gt;$D$15,"",-$AK$5/$D$15),0),""))</f>
        <v>-909090.90909090906</v>
      </c>
      <c r="AM112" s="27">
        <f t="shared" ca="1" si="65"/>
        <v>-48063.511830637093</v>
      </c>
      <c r="AN112" s="27">
        <f t="shared" si="57"/>
        <v>4545454.5454547321</v>
      </c>
      <c r="AO112" s="27">
        <f>IF(torlesztes="Egyedi",-SUMIFS(U$7:U$126,T$7:T$126,"&gt;"&amp;AJ111,T$7:T$126,"&lt;="&amp;AJ112),IFERROR(IF(torlesztes="Egyenlő tőke",IF(COUNT($AN$7:AN112)&gt;$D$15,"",-$AK$5/$D$15),0),""))</f>
        <v>-909090.90909090906</v>
      </c>
      <c r="AP112" s="27">
        <f t="shared" si="66"/>
        <v>-5790.7845579080831</v>
      </c>
      <c r="AR112" s="27">
        <f t="shared" ca="1" si="76"/>
        <v>42272.727272729011</v>
      </c>
      <c r="AS112" s="27">
        <f t="shared" ca="1" si="67"/>
        <v>30228.404537996754</v>
      </c>
      <c r="AT112" s="34">
        <f t="shared" si="77"/>
        <v>31</v>
      </c>
    </row>
    <row r="113" spans="10:46" x14ac:dyDescent="0.25">
      <c r="J113" s="33" t="b">
        <f t="shared" si="49"/>
        <v>0</v>
      </c>
      <c r="L113" s="87"/>
      <c r="M113" s="86"/>
      <c r="N113" s="20" t="str">
        <f t="shared" si="60"/>
        <v/>
      </c>
      <c r="O113" s="9">
        <f t="shared" si="68"/>
        <v>0</v>
      </c>
      <c r="P113" s="9">
        <f t="shared" si="61"/>
        <v>0</v>
      </c>
      <c r="Q113" s="9">
        <f t="shared" si="62"/>
        <v>0</v>
      </c>
      <c r="R113" s="24" t="str">
        <f t="shared" si="63"/>
        <v/>
      </c>
      <c r="S113" s="36"/>
      <c r="T113" s="88"/>
      <c r="U113" s="86"/>
      <c r="V113" s="20" t="str">
        <f t="shared" si="50"/>
        <v/>
      </c>
      <c r="W113" s="9" t="str">
        <f t="shared" si="51"/>
        <v/>
      </c>
      <c r="X113" s="9" t="str">
        <f t="shared" ca="1" si="69"/>
        <v/>
      </c>
      <c r="Y113" s="9" t="str">
        <f t="shared" si="70"/>
        <v/>
      </c>
      <c r="Z113" s="9" t="str">
        <f t="shared" si="48"/>
        <v/>
      </c>
      <c r="AA113" s="74">
        <f t="shared" si="52"/>
        <v>47529</v>
      </c>
      <c r="AB113" s="35">
        <f t="shared" si="53"/>
        <v>0</v>
      </c>
      <c r="AC113" s="35">
        <f t="shared" si="54"/>
        <v>3636363.636363823</v>
      </c>
      <c r="AD113" s="15">
        <f t="shared" ca="1" si="71"/>
        <v>-34729.763387299419</v>
      </c>
      <c r="AE113" s="15">
        <f t="shared" si="72"/>
        <v>-4184.3088418433035</v>
      </c>
      <c r="AF113" s="34">
        <f t="shared" si="73"/>
        <v>28</v>
      </c>
      <c r="AH113" s="34">
        <v>107</v>
      </c>
      <c r="AI113" s="25">
        <f t="shared" si="74"/>
        <v>107</v>
      </c>
      <c r="AJ113" s="26">
        <f t="shared" si="64"/>
        <v>47557</v>
      </c>
      <c r="AK113" s="27">
        <f t="shared" si="75"/>
        <v>3636363.636363823</v>
      </c>
      <c r="AL113" s="114">
        <f>IF(torlesztes="Egyedi",-SUMIFS(U$7:U$126,T$7:T$126,"&gt;"&amp;AJ112,T$7:T$126,"&lt;="&amp;AJ113),IFERROR(IF(torlesztes="Egyenlő tőke",IF(COUNT($AK$7:AK113)&gt;$D$15,"",-$AK$5/$D$15),0),""))</f>
        <v>-909090.90909090906</v>
      </c>
      <c r="AM113" s="27">
        <f t="shared" ca="1" si="65"/>
        <v>-34729.763387299419</v>
      </c>
      <c r="AN113" s="27">
        <f t="shared" si="57"/>
        <v>3636363.636363823</v>
      </c>
      <c r="AO113" s="27">
        <f>IF(torlesztes="Egyedi",-SUMIFS(U$7:U$126,T$7:T$126,"&gt;"&amp;AJ112,T$7:T$126,"&lt;="&amp;AJ113),IFERROR(IF(torlesztes="Egyenlő tőke",IF(COUNT($AN$7:AN113)&gt;$D$15,"",-$AK$5/$D$15),0),""))</f>
        <v>-909090.90909090906</v>
      </c>
      <c r="AP113" s="27">
        <f t="shared" si="66"/>
        <v>-4184.3088418433035</v>
      </c>
      <c r="AR113" s="27">
        <f t="shared" ca="1" si="76"/>
        <v>30545.454545456116</v>
      </c>
      <c r="AS113" s="27">
        <f t="shared" ca="1" si="67"/>
        <v>21779.843004624097</v>
      </c>
      <c r="AT113" s="34">
        <f t="shared" si="77"/>
        <v>28</v>
      </c>
    </row>
    <row r="114" spans="10:46" x14ac:dyDescent="0.25">
      <c r="J114" s="33" t="b">
        <f t="shared" si="49"/>
        <v>0</v>
      </c>
      <c r="L114" s="87"/>
      <c r="M114" s="86"/>
      <c r="N114" s="20" t="str">
        <f t="shared" si="60"/>
        <v/>
      </c>
      <c r="O114" s="9">
        <f t="shared" si="68"/>
        <v>0</v>
      </c>
      <c r="P114" s="9">
        <f t="shared" si="61"/>
        <v>0</v>
      </c>
      <c r="Q114" s="9">
        <f t="shared" si="62"/>
        <v>0</v>
      </c>
      <c r="R114" s="24" t="str">
        <f t="shared" si="63"/>
        <v/>
      </c>
      <c r="S114" s="36"/>
      <c r="T114" s="88"/>
      <c r="U114" s="86"/>
      <c r="V114" s="20" t="str">
        <f t="shared" si="50"/>
        <v/>
      </c>
      <c r="W114" s="9" t="str">
        <f t="shared" si="51"/>
        <v/>
      </c>
      <c r="X114" s="9" t="str">
        <f t="shared" ca="1" si="69"/>
        <v/>
      </c>
      <c r="Y114" s="9" t="str">
        <f t="shared" si="70"/>
        <v/>
      </c>
      <c r="Z114" s="9" t="str">
        <f t="shared" si="48"/>
        <v/>
      </c>
      <c r="AA114" s="74">
        <f t="shared" si="52"/>
        <v>47557</v>
      </c>
      <c r="AB114" s="35">
        <f t="shared" si="53"/>
        <v>0</v>
      </c>
      <c r="AC114" s="35">
        <f t="shared" si="54"/>
        <v>2727272.7272729138</v>
      </c>
      <c r="AD114" s="15">
        <f t="shared" ca="1" si="71"/>
        <v>-28838.107098383043</v>
      </c>
      <c r="AE114" s="15">
        <f t="shared" si="72"/>
        <v>-3474.4707347449448</v>
      </c>
      <c r="AF114" s="34">
        <f t="shared" si="73"/>
        <v>31</v>
      </c>
      <c r="AH114" s="34">
        <v>108</v>
      </c>
      <c r="AI114" s="25">
        <f t="shared" si="74"/>
        <v>108</v>
      </c>
      <c r="AJ114" s="26">
        <f t="shared" si="64"/>
        <v>47588</v>
      </c>
      <c r="AK114" s="27">
        <f t="shared" si="75"/>
        <v>2727272.7272729138</v>
      </c>
      <c r="AL114" s="114">
        <f>IF(torlesztes="Egyedi",-SUMIFS(U$7:U$126,T$7:T$126,"&gt;"&amp;AJ113,T$7:T$126,"&lt;="&amp;AJ114),IFERROR(IF(torlesztes="Egyenlő tőke",IF(COUNT($AK$7:AK114)&gt;$D$15,"",-$AK$5/$D$15),0),""))</f>
        <v>-909090.90909090906</v>
      </c>
      <c r="AM114" s="27">
        <f t="shared" ca="1" si="65"/>
        <v>-28838.107098383043</v>
      </c>
      <c r="AN114" s="27">
        <f t="shared" si="57"/>
        <v>2727272.7272729138</v>
      </c>
      <c r="AO114" s="27">
        <f>IF(torlesztes="Egyedi",-SUMIFS(U$7:U$126,T$7:T$126,"&gt;"&amp;AJ113,T$7:T$126,"&lt;="&amp;AJ114),IFERROR(IF(torlesztes="Egyenlő tőke",IF(COUNT($AN$7:AN114)&gt;$D$15,"",-$AK$5/$D$15),0),""))</f>
        <v>-909090.90909090906</v>
      </c>
      <c r="AP114" s="27">
        <f t="shared" si="66"/>
        <v>-3474.4707347449448</v>
      </c>
      <c r="AR114" s="27">
        <f t="shared" ca="1" si="76"/>
        <v>25363.636363638099</v>
      </c>
      <c r="AS114" s="27">
        <f t="shared" ca="1" si="67"/>
        <v>18033.202751287157</v>
      </c>
      <c r="AT114" s="34">
        <f t="shared" si="77"/>
        <v>31</v>
      </c>
    </row>
    <row r="115" spans="10:46" x14ac:dyDescent="0.25">
      <c r="J115" s="33" t="b">
        <f t="shared" si="49"/>
        <v>0</v>
      </c>
      <c r="L115" s="87"/>
      <c r="M115" s="86"/>
      <c r="N115" s="20" t="str">
        <f t="shared" si="60"/>
        <v/>
      </c>
      <c r="O115" s="9">
        <f t="shared" si="68"/>
        <v>0</v>
      </c>
      <c r="P115" s="9">
        <f t="shared" si="61"/>
        <v>0</v>
      </c>
      <c r="Q115" s="9">
        <f t="shared" si="62"/>
        <v>0</v>
      </c>
      <c r="R115" s="24" t="str">
        <f t="shared" si="63"/>
        <v/>
      </c>
      <c r="S115" s="36"/>
      <c r="T115" s="88"/>
      <c r="U115" s="86"/>
      <c r="V115" s="20" t="str">
        <f t="shared" si="50"/>
        <v/>
      </c>
      <c r="W115" s="9" t="str">
        <f t="shared" si="51"/>
        <v/>
      </c>
      <c r="X115" s="9" t="str">
        <f t="shared" ca="1" si="69"/>
        <v/>
      </c>
      <c r="Y115" s="9" t="str">
        <f t="shared" si="70"/>
        <v/>
      </c>
      <c r="Z115" s="9" t="str">
        <f t="shared" si="48"/>
        <v/>
      </c>
      <c r="AA115" s="74">
        <f t="shared" si="52"/>
        <v>47588</v>
      </c>
      <c r="AB115" s="35">
        <f t="shared" si="53"/>
        <v>0</v>
      </c>
      <c r="AC115" s="35">
        <f t="shared" si="54"/>
        <v>1818181.8181820046</v>
      </c>
      <c r="AD115" s="15">
        <f t="shared" ca="1" si="71"/>
        <v>-18605.230386054212</v>
      </c>
      <c r="AE115" s="15">
        <f t="shared" si="72"/>
        <v>-2241.59402241617</v>
      </c>
      <c r="AF115" s="34">
        <f t="shared" si="73"/>
        <v>30</v>
      </c>
      <c r="AH115" s="34">
        <v>109</v>
      </c>
      <c r="AI115" s="25">
        <f t="shared" si="74"/>
        <v>109</v>
      </c>
      <c r="AJ115" s="26">
        <f t="shared" si="64"/>
        <v>47618</v>
      </c>
      <c r="AK115" s="27">
        <f t="shared" si="75"/>
        <v>1818181.8181820046</v>
      </c>
      <c r="AL115" s="114">
        <f>IF(torlesztes="Egyedi",-SUMIFS(U$7:U$126,T$7:T$126,"&gt;"&amp;AJ114,T$7:T$126,"&lt;="&amp;AJ115),IFERROR(IF(torlesztes="Egyenlő tőke",IF(COUNT($AK$7:AK115)&gt;$D$15,"",-$AK$5/$D$15),0),""))</f>
        <v>-909090.90909090906</v>
      </c>
      <c r="AM115" s="27">
        <f t="shared" ca="1" si="65"/>
        <v>-18605.230386054212</v>
      </c>
      <c r="AN115" s="27">
        <f t="shared" si="57"/>
        <v>1818181.8181820046</v>
      </c>
      <c r="AO115" s="27">
        <f>IF(torlesztes="Egyedi",-SUMIFS(U$7:U$126,T$7:T$126,"&gt;"&amp;AJ114,T$7:T$126,"&lt;="&amp;AJ115),IFERROR(IF(torlesztes="Egyenlő tőke",IF(COUNT($AN$7:AN115)&gt;$D$15,"",-$AK$5/$D$15),0),""))</f>
        <v>-909090.90909090906</v>
      </c>
      <c r="AP115" s="27">
        <f t="shared" si="66"/>
        <v>-2241.59402241617</v>
      </c>
      <c r="AR115" s="27">
        <f t="shared" ca="1" si="76"/>
        <v>16363.636363638043</v>
      </c>
      <c r="AS115" s="27">
        <f t="shared" ca="1" si="67"/>
        <v>11600.97156242755</v>
      </c>
      <c r="AT115" s="34">
        <f t="shared" si="77"/>
        <v>30</v>
      </c>
    </row>
    <row r="116" spans="10:46" x14ac:dyDescent="0.25">
      <c r="J116" s="33" t="b">
        <f t="shared" si="49"/>
        <v>0</v>
      </c>
      <c r="L116" s="87"/>
      <c r="M116" s="86"/>
      <c r="N116" s="20" t="str">
        <f t="shared" si="60"/>
        <v/>
      </c>
      <c r="O116" s="9">
        <f t="shared" si="68"/>
        <v>0</v>
      </c>
      <c r="P116" s="9">
        <f t="shared" si="61"/>
        <v>0</v>
      </c>
      <c r="Q116" s="9">
        <f t="shared" si="62"/>
        <v>0</v>
      </c>
      <c r="R116" s="24" t="str">
        <f t="shared" si="63"/>
        <v/>
      </c>
      <c r="S116" s="36"/>
      <c r="T116" s="88"/>
      <c r="U116" s="86"/>
      <c r="V116" s="20" t="str">
        <f t="shared" si="50"/>
        <v/>
      </c>
      <c r="W116" s="9" t="str">
        <f t="shared" si="51"/>
        <v/>
      </c>
      <c r="X116" s="9" t="str">
        <f t="shared" ca="1" si="69"/>
        <v/>
      </c>
      <c r="Y116" s="9" t="str">
        <f t="shared" si="70"/>
        <v/>
      </c>
      <c r="Z116" s="9" t="str">
        <f t="shared" si="48"/>
        <v/>
      </c>
      <c r="AA116" s="74">
        <f t="shared" si="52"/>
        <v>47618</v>
      </c>
      <c r="AB116" s="35">
        <f t="shared" si="53"/>
        <v>0</v>
      </c>
      <c r="AC116" s="35">
        <f t="shared" si="54"/>
        <v>909090.90909109556</v>
      </c>
      <c r="AD116" s="15">
        <f t="shared" ca="1" si="71"/>
        <v>-4651.3075965140297</v>
      </c>
      <c r="AE116" s="15">
        <f t="shared" si="72"/>
        <v>-560.39850560410002</v>
      </c>
      <c r="AF116" s="34">
        <f t="shared" si="73"/>
        <v>15</v>
      </c>
      <c r="AH116" s="34">
        <v>110</v>
      </c>
      <c r="AI116" s="25">
        <f t="shared" si="74"/>
        <v>110</v>
      </c>
      <c r="AJ116" s="26">
        <f t="shared" si="64"/>
        <v>47633</v>
      </c>
      <c r="AK116" s="27">
        <f t="shared" si="75"/>
        <v>909090.90909109556</v>
      </c>
      <c r="AL116" s="114">
        <f>IF(torlesztes="Egyedi",-SUMIFS(U$7:U$126,T$7:T$126,"&gt;"&amp;AJ115,T$7:T$126,"&lt;="&amp;AJ116),IFERROR(IF(torlesztes="Egyenlő tőke",IF(COUNT($AK$7:AK116)&gt;$D$15,"",-$AK$5/$D$15),0),""))</f>
        <v>-909090.90909090906</v>
      </c>
      <c r="AM116" s="27">
        <f t="shared" ca="1" si="65"/>
        <v>-4651.3075965140297</v>
      </c>
      <c r="AN116" s="27">
        <f t="shared" si="57"/>
        <v>909090.90909109556</v>
      </c>
      <c r="AO116" s="27">
        <f>IF(torlesztes="Egyedi",-SUMIFS(U$7:U$126,T$7:T$126,"&gt;"&amp;AJ115,T$7:T$126,"&lt;="&amp;AJ116),IFERROR(IF(torlesztes="Egyenlő tőke",IF(COUNT($AN$7:AN116)&gt;$D$15,"",-$AK$5/$D$15),0),""))</f>
        <v>-909090.90909090906</v>
      </c>
      <c r="AP116" s="27">
        <f t="shared" si="66"/>
        <v>-560.39850560410002</v>
      </c>
      <c r="AR116" s="27">
        <f t="shared" ca="1" si="76"/>
        <v>4090.9090909099295</v>
      </c>
      <c r="AS116" s="27">
        <f t="shared" ca="1" si="67"/>
        <v>2891.9285958939886</v>
      </c>
      <c r="AT116" s="34">
        <f t="shared" si="77"/>
        <v>15</v>
      </c>
    </row>
    <row r="117" spans="10:46" x14ac:dyDescent="0.25">
      <c r="J117" s="33" t="b">
        <f t="shared" si="49"/>
        <v>1</v>
      </c>
      <c r="L117" s="87"/>
      <c r="M117" s="86"/>
      <c r="N117" s="20" t="str">
        <f t="shared" si="60"/>
        <v/>
      </c>
      <c r="O117" s="9">
        <f t="shared" si="68"/>
        <v>0</v>
      </c>
      <c r="P117" s="9">
        <f t="shared" si="61"/>
        <v>0</v>
      </c>
      <c r="Q117" s="9">
        <f t="shared" si="62"/>
        <v>0</v>
      </c>
      <c r="R117" s="24" t="str">
        <f t="shared" si="63"/>
        <v/>
      </c>
      <c r="S117" s="36"/>
      <c r="T117" s="88"/>
      <c r="U117" s="86"/>
      <c r="V117" s="20" t="str">
        <f t="shared" si="50"/>
        <v/>
      </c>
      <c r="W117" s="9" t="str">
        <f t="shared" si="51"/>
        <v/>
      </c>
      <c r="X117" s="9" t="str">
        <f t="shared" ca="1" si="69"/>
        <v/>
      </c>
      <c r="Y117" s="9" t="str">
        <f t="shared" si="70"/>
        <v/>
      </c>
      <c r="Z117" s="9" t="str">
        <f t="shared" si="48"/>
        <v/>
      </c>
      <c r="AA117" s="74">
        <f t="shared" si="52"/>
        <v>47633</v>
      </c>
      <c r="AB117" s="35">
        <f t="shared" si="53"/>
        <v>0</v>
      </c>
      <c r="AC117" s="35">
        <f t="shared" si="54"/>
        <v>0</v>
      </c>
      <c r="AD117" s="15">
        <f t="shared" ca="1" si="71"/>
        <v>0</v>
      </c>
      <c r="AE117" s="15">
        <f t="shared" si="72"/>
        <v>0</v>
      </c>
      <c r="AF117" s="34" t="str">
        <f t="shared" si="73"/>
        <v/>
      </c>
      <c r="AH117" s="34">
        <v>111</v>
      </c>
      <c r="AI117" s="25" t="str">
        <f t="shared" si="74"/>
        <v/>
      </c>
      <c r="AJ117" s="26" t="str">
        <f t="shared" si="64"/>
        <v/>
      </c>
      <c r="AK117" s="27">
        <f t="shared" si="75"/>
        <v>0</v>
      </c>
      <c r="AL117" s="114" t="str">
        <f>IF(torlesztes="Egyedi",-SUMIFS(U$7:U$126,T$7:T$126,"&gt;"&amp;AJ116,T$7:T$126,"&lt;="&amp;AJ117),IFERROR(IF(torlesztes="Egyenlő tőke",IF(COUNT($AK$7:AK117)&gt;$D$15,"",-$AK$5/$D$15),0),""))</f>
        <v/>
      </c>
      <c r="AM117" s="27" t="str">
        <f t="shared" ca="1" si="65"/>
        <v/>
      </c>
      <c r="AN117" s="27">
        <f t="shared" si="57"/>
        <v>0</v>
      </c>
      <c r="AO117" s="27" t="str">
        <f>IF(torlesztes="Egyedi",-SUMIFS(U$7:U$126,T$7:T$126,"&gt;"&amp;AJ116,T$7:T$126,"&lt;="&amp;AJ117),IFERROR(IF(torlesztes="Egyenlő tőke",IF(COUNT($AN$7:AN117)&gt;$D$15,"",-$AK$5/$D$15),0),""))</f>
        <v/>
      </c>
      <c r="AP117" s="27" t="str">
        <f t="shared" si="66"/>
        <v/>
      </c>
      <c r="AR117" s="27" t="str">
        <f t="shared" ca="1" si="76"/>
        <v/>
      </c>
      <c r="AS117" s="27" t="str">
        <f t="shared" ca="1" si="67"/>
        <v/>
      </c>
      <c r="AT117" s="34" t="str">
        <f t="shared" si="77"/>
        <v/>
      </c>
    </row>
    <row r="118" spans="10:46" x14ac:dyDescent="0.25">
      <c r="J118" s="33" t="b">
        <f t="shared" si="49"/>
        <v>1</v>
      </c>
      <c r="L118" s="87"/>
      <c r="M118" s="86"/>
      <c r="N118" s="20" t="str">
        <f t="shared" si="60"/>
        <v/>
      </c>
      <c r="O118" s="9">
        <f t="shared" si="68"/>
        <v>0</v>
      </c>
      <c r="P118" s="9">
        <f t="shared" si="61"/>
        <v>0</v>
      </c>
      <c r="Q118" s="9">
        <f t="shared" si="62"/>
        <v>0</v>
      </c>
      <c r="R118" s="24" t="str">
        <f t="shared" si="63"/>
        <v/>
      </c>
      <c r="S118" s="36"/>
      <c r="T118" s="88"/>
      <c r="U118" s="86"/>
      <c r="V118" s="20" t="str">
        <f t="shared" si="50"/>
        <v/>
      </c>
      <c r="W118" s="9" t="str">
        <f t="shared" si="51"/>
        <v/>
      </c>
      <c r="X118" s="9" t="str">
        <f t="shared" ca="1" si="69"/>
        <v/>
      </c>
      <c r="Y118" s="9" t="str">
        <f t="shared" si="70"/>
        <v/>
      </c>
      <c r="Z118" s="9" t="str">
        <f t="shared" si="48"/>
        <v/>
      </c>
      <c r="AA118" s="74">
        <f t="shared" si="52"/>
        <v>0</v>
      </c>
      <c r="AB118" s="35">
        <f t="shared" si="53"/>
        <v>0</v>
      </c>
      <c r="AC118" s="35">
        <f t="shared" si="54"/>
        <v>0</v>
      </c>
      <c r="AD118" s="15">
        <f t="shared" ca="1" si="71"/>
        <v>0</v>
      </c>
      <c r="AE118" s="15">
        <f t="shared" si="72"/>
        <v>0</v>
      </c>
      <c r="AF118" s="34" t="str">
        <f t="shared" si="73"/>
        <v/>
      </c>
      <c r="AH118" s="34">
        <v>112</v>
      </c>
      <c r="AI118" s="25" t="str">
        <f t="shared" si="74"/>
        <v/>
      </c>
      <c r="AJ118" s="26" t="str">
        <f t="shared" si="64"/>
        <v/>
      </c>
      <c r="AK118" s="27">
        <f t="shared" si="75"/>
        <v>0</v>
      </c>
      <c r="AL118" s="114" t="str">
        <f>IF(torlesztes="Egyedi",-SUMIFS(U$7:U$126,T$7:T$126,"&gt;"&amp;AJ117,T$7:T$126,"&lt;="&amp;AJ118),IFERROR(IF(torlesztes="Egyenlő tőke",IF(COUNT($AK$7:AK118)&gt;$D$15,"",-$AK$5/$D$15),0),""))</f>
        <v/>
      </c>
      <c r="AM118" s="27" t="str">
        <f t="shared" ca="1" si="65"/>
        <v/>
      </c>
      <c r="AN118" s="27">
        <f t="shared" si="57"/>
        <v>0</v>
      </c>
      <c r="AO118" s="27" t="str">
        <f>IF(torlesztes="Egyedi",-SUMIFS(U$7:U$126,T$7:T$126,"&gt;"&amp;AJ117,T$7:T$126,"&lt;="&amp;AJ118),IFERROR(IF(torlesztes="Egyenlő tőke",IF(COUNT($AN$7:AN118)&gt;$D$15,"",-$AK$5/$D$15),0),""))</f>
        <v/>
      </c>
      <c r="AP118" s="27" t="str">
        <f t="shared" si="66"/>
        <v/>
      </c>
      <c r="AR118" s="27" t="str">
        <f t="shared" ca="1" si="76"/>
        <v/>
      </c>
      <c r="AS118" s="27" t="str">
        <f t="shared" ca="1" si="67"/>
        <v/>
      </c>
      <c r="AT118" s="34" t="str">
        <f t="shared" si="77"/>
        <v/>
      </c>
    </row>
    <row r="119" spans="10:46" x14ac:dyDescent="0.25">
      <c r="J119" s="33" t="b">
        <f t="shared" si="49"/>
        <v>1</v>
      </c>
      <c r="L119" s="87"/>
      <c r="M119" s="86"/>
      <c r="N119" s="20" t="str">
        <f t="shared" si="60"/>
        <v/>
      </c>
      <c r="O119" s="9">
        <f t="shared" si="68"/>
        <v>0</v>
      </c>
      <c r="P119" s="9">
        <f t="shared" si="61"/>
        <v>0</v>
      </c>
      <c r="Q119" s="9">
        <f t="shared" si="62"/>
        <v>0</v>
      </c>
      <c r="R119" s="24" t="str">
        <f t="shared" si="63"/>
        <v/>
      </c>
      <c r="S119" s="36"/>
      <c r="T119" s="88"/>
      <c r="U119" s="86"/>
      <c r="V119" s="20" t="str">
        <f t="shared" si="50"/>
        <v/>
      </c>
      <c r="W119" s="9" t="str">
        <f t="shared" si="51"/>
        <v/>
      </c>
      <c r="X119" s="9" t="str">
        <f t="shared" ca="1" si="69"/>
        <v/>
      </c>
      <c r="Y119" s="9" t="str">
        <f t="shared" si="70"/>
        <v/>
      </c>
      <c r="Z119" s="9" t="str">
        <f t="shared" si="48"/>
        <v/>
      </c>
      <c r="AA119" s="74">
        <f t="shared" si="52"/>
        <v>0</v>
      </c>
      <c r="AB119" s="35">
        <f t="shared" si="53"/>
        <v>0</v>
      </c>
      <c r="AC119" s="35">
        <f t="shared" si="54"/>
        <v>0</v>
      </c>
      <c r="AD119" s="15">
        <f t="shared" ca="1" si="71"/>
        <v>0</v>
      </c>
      <c r="AE119" s="15">
        <f t="shared" si="72"/>
        <v>0</v>
      </c>
      <c r="AF119" s="34" t="str">
        <f t="shared" si="73"/>
        <v/>
      </c>
      <c r="AH119" s="34">
        <v>113</v>
      </c>
      <c r="AI119" s="25" t="str">
        <f t="shared" si="74"/>
        <v/>
      </c>
      <c r="AJ119" s="26" t="str">
        <f t="shared" si="64"/>
        <v/>
      </c>
      <c r="AK119" s="27">
        <f t="shared" si="75"/>
        <v>0</v>
      </c>
      <c r="AL119" s="114" t="str">
        <f>IF(torlesztes="Egyedi",-SUMIFS(U$7:U$126,T$7:T$126,"&gt;"&amp;AJ118,T$7:T$126,"&lt;="&amp;AJ119),IFERROR(IF(torlesztes="Egyenlő tőke",IF(COUNT($AK$7:AK119)&gt;$D$15,"",-$AK$5/$D$15),0),""))</f>
        <v/>
      </c>
      <c r="AM119" s="27" t="str">
        <f t="shared" ca="1" si="65"/>
        <v/>
      </c>
      <c r="AN119" s="27">
        <f t="shared" si="57"/>
        <v>0</v>
      </c>
      <c r="AO119" s="27" t="str">
        <f>IF(torlesztes="Egyedi",-SUMIFS(U$7:U$126,T$7:T$126,"&gt;"&amp;AJ118,T$7:T$126,"&lt;="&amp;AJ119),IFERROR(IF(torlesztes="Egyenlő tőke",IF(COUNT($AN$7:AN119)&gt;$D$15,"",-$AK$5/$D$15),0),""))</f>
        <v/>
      </c>
      <c r="AP119" s="27" t="str">
        <f t="shared" si="66"/>
        <v/>
      </c>
      <c r="AR119" s="27" t="str">
        <f t="shared" ca="1" si="76"/>
        <v/>
      </c>
      <c r="AS119" s="27" t="str">
        <f t="shared" ca="1" si="67"/>
        <v/>
      </c>
      <c r="AT119" s="34" t="str">
        <f t="shared" si="77"/>
        <v/>
      </c>
    </row>
    <row r="120" spans="10:46" x14ac:dyDescent="0.25">
      <c r="J120" s="33" t="b">
        <f t="shared" si="49"/>
        <v>1</v>
      </c>
      <c r="L120" s="87"/>
      <c r="M120" s="86"/>
      <c r="N120" s="20" t="str">
        <f t="shared" si="60"/>
        <v/>
      </c>
      <c r="O120" s="9">
        <f t="shared" si="68"/>
        <v>0</v>
      </c>
      <c r="P120" s="9">
        <f t="shared" si="61"/>
        <v>0</v>
      </c>
      <c r="Q120" s="9">
        <f t="shared" si="62"/>
        <v>0</v>
      </c>
      <c r="R120" s="24" t="str">
        <f t="shared" si="63"/>
        <v/>
      </c>
      <c r="S120" s="36"/>
      <c r="T120" s="88"/>
      <c r="U120" s="86"/>
      <c r="V120" s="20" t="str">
        <f t="shared" si="50"/>
        <v/>
      </c>
      <c r="W120" s="9" t="str">
        <f t="shared" si="51"/>
        <v/>
      </c>
      <c r="X120" s="9" t="str">
        <f t="shared" ca="1" si="69"/>
        <v/>
      </c>
      <c r="Y120" s="9" t="str">
        <f t="shared" si="70"/>
        <v/>
      </c>
      <c r="Z120" s="9" t="str">
        <f t="shared" si="48"/>
        <v/>
      </c>
      <c r="AA120" s="74">
        <f t="shared" si="52"/>
        <v>0</v>
      </c>
      <c r="AB120" s="35">
        <f t="shared" si="53"/>
        <v>0</v>
      </c>
      <c r="AC120" s="35">
        <f t="shared" si="54"/>
        <v>0</v>
      </c>
      <c r="AD120" s="15">
        <f t="shared" ca="1" si="71"/>
        <v>0</v>
      </c>
      <c r="AE120" s="15">
        <f t="shared" si="72"/>
        <v>0</v>
      </c>
      <c r="AF120" s="34" t="str">
        <f t="shared" si="73"/>
        <v/>
      </c>
      <c r="AH120" s="34">
        <v>114</v>
      </c>
      <c r="AI120" s="25" t="str">
        <f t="shared" si="74"/>
        <v/>
      </c>
      <c r="AJ120" s="26" t="str">
        <f t="shared" si="64"/>
        <v/>
      </c>
      <c r="AK120" s="27">
        <f t="shared" si="75"/>
        <v>0</v>
      </c>
      <c r="AL120" s="114" t="str">
        <f>IF(torlesztes="Egyedi",-SUMIFS(U$7:U$126,T$7:T$126,"&gt;"&amp;AJ119,T$7:T$126,"&lt;="&amp;AJ120),IFERROR(IF(torlesztes="Egyenlő tőke",IF(COUNT($AK$7:AK120)&gt;$D$15,"",-$AK$5/$D$15),0),""))</f>
        <v/>
      </c>
      <c r="AM120" s="27" t="str">
        <f t="shared" ca="1" si="65"/>
        <v/>
      </c>
      <c r="AN120" s="27">
        <f t="shared" si="57"/>
        <v>0</v>
      </c>
      <c r="AO120" s="27" t="str">
        <f>IF(torlesztes="Egyedi",-SUMIFS(U$7:U$126,T$7:T$126,"&gt;"&amp;AJ119,T$7:T$126,"&lt;="&amp;AJ120),IFERROR(IF(torlesztes="Egyenlő tőke",IF(COUNT($AN$7:AN120)&gt;$D$15,"",-$AK$5/$D$15),0),""))</f>
        <v/>
      </c>
      <c r="AP120" s="27" t="str">
        <f t="shared" si="66"/>
        <v/>
      </c>
      <c r="AR120" s="27" t="str">
        <f t="shared" ca="1" si="76"/>
        <v/>
      </c>
      <c r="AS120" s="27" t="str">
        <f t="shared" ca="1" si="67"/>
        <v/>
      </c>
      <c r="AT120" s="34" t="str">
        <f t="shared" si="77"/>
        <v/>
      </c>
    </row>
    <row r="121" spans="10:46" x14ac:dyDescent="0.25">
      <c r="J121" s="33" t="b">
        <f t="shared" si="49"/>
        <v>1</v>
      </c>
      <c r="L121" s="87"/>
      <c r="M121" s="86"/>
      <c r="N121" s="20" t="str">
        <f t="shared" si="60"/>
        <v/>
      </c>
      <c r="O121" s="9">
        <f t="shared" si="68"/>
        <v>0</v>
      </c>
      <c r="P121" s="9">
        <f t="shared" si="61"/>
        <v>0</v>
      </c>
      <c r="Q121" s="9">
        <f t="shared" si="62"/>
        <v>0</v>
      </c>
      <c r="R121" s="24" t="str">
        <f t="shared" si="63"/>
        <v/>
      </c>
      <c r="S121" s="36"/>
      <c r="T121" s="88"/>
      <c r="U121" s="86"/>
      <c r="V121" s="20" t="str">
        <f t="shared" si="50"/>
        <v/>
      </c>
      <c r="W121" s="9" t="str">
        <f t="shared" si="51"/>
        <v/>
      </c>
      <c r="X121" s="9" t="str">
        <f t="shared" ca="1" si="69"/>
        <v/>
      </c>
      <c r="Y121" s="9" t="str">
        <f t="shared" si="70"/>
        <v/>
      </c>
      <c r="Z121" s="9" t="str">
        <f t="shared" si="48"/>
        <v/>
      </c>
      <c r="AA121" s="74">
        <f t="shared" si="52"/>
        <v>0</v>
      </c>
      <c r="AB121" s="35">
        <f t="shared" si="53"/>
        <v>0</v>
      </c>
      <c r="AC121" s="35">
        <f t="shared" si="54"/>
        <v>0</v>
      </c>
      <c r="AD121" s="15">
        <f t="shared" ca="1" si="71"/>
        <v>0</v>
      </c>
      <c r="AE121" s="15">
        <f t="shared" si="72"/>
        <v>0</v>
      </c>
      <c r="AF121" s="34" t="str">
        <f t="shared" si="73"/>
        <v/>
      </c>
      <c r="AH121" s="34">
        <v>115</v>
      </c>
      <c r="AI121" s="25" t="str">
        <f t="shared" si="74"/>
        <v/>
      </c>
      <c r="AJ121" s="26" t="str">
        <f t="shared" si="64"/>
        <v/>
      </c>
      <c r="AK121" s="27">
        <f t="shared" si="75"/>
        <v>0</v>
      </c>
      <c r="AL121" s="114" t="str">
        <f>IF(torlesztes="Egyedi",-SUMIFS(U$7:U$126,T$7:T$126,"&gt;"&amp;AJ120,T$7:T$126,"&lt;="&amp;AJ121),IFERROR(IF(torlesztes="Egyenlő tőke",IF(COUNT($AK$7:AK121)&gt;$D$15,"",-$AK$5/$D$15),0),""))</f>
        <v/>
      </c>
      <c r="AM121" s="27" t="str">
        <f t="shared" ca="1" si="65"/>
        <v/>
      </c>
      <c r="AN121" s="27">
        <f t="shared" si="57"/>
        <v>0</v>
      </c>
      <c r="AO121" s="27" t="str">
        <f>IF(torlesztes="Egyedi",-SUMIFS(U$7:U$126,T$7:T$126,"&gt;"&amp;AJ120,T$7:T$126,"&lt;="&amp;AJ121),IFERROR(IF(torlesztes="Egyenlő tőke",IF(COUNT($AN$7:AN121)&gt;$D$15,"",-$AK$5/$D$15),0),""))</f>
        <v/>
      </c>
      <c r="AP121" s="27" t="str">
        <f t="shared" si="66"/>
        <v/>
      </c>
      <c r="AR121" s="27" t="str">
        <f t="shared" ca="1" si="76"/>
        <v/>
      </c>
      <c r="AS121" s="27" t="str">
        <f t="shared" ca="1" si="67"/>
        <v/>
      </c>
      <c r="AT121" s="34" t="str">
        <f t="shared" si="77"/>
        <v/>
      </c>
    </row>
    <row r="122" spans="10:46" x14ac:dyDescent="0.25">
      <c r="J122" s="33" t="b">
        <f t="shared" si="49"/>
        <v>1</v>
      </c>
      <c r="L122" s="87"/>
      <c r="M122" s="86"/>
      <c r="N122" s="20" t="str">
        <f t="shared" si="60"/>
        <v/>
      </c>
      <c r="O122" s="9">
        <f t="shared" si="68"/>
        <v>0</v>
      </c>
      <c r="P122" s="9">
        <f t="shared" si="61"/>
        <v>0</v>
      </c>
      <c r="Q122" s="9">
        <f t="shared" si="62"/>
        <v>0</v>
      </c>
      <c r="R122" s="24" t="str">
        <f t="shared" si="63"/>
        <v/>
      </c>
      <c r="S122" s="36"/>
      <c r="T122" s="88"/>
      <c r="U122" s="86"/>
      <c r="V122" s="20" t="str">
        <f t="shared" si="50"/>
        <v/>
      </c>
      <c r="W122" s="9" t="str">
        <f t="shared" si="51"/>
        <v/>
      </c>
      <c r="X122" s="9" t="str">
        <f t="shared" ca="1" si="69"/>
        <v/>
      </c>
      <c r="Y122" s="9" t="str">
        <f t="shared" si="70"/>
        <v/>
      </c>
      <c r="Z122" s="9" t="str">
        <f t="shared" si="48"/>
        <v/>
      </c>
      <c r="AA122" s="74">
        <f t="shared" si="52"/>
        <v>0</v>
      </c>
      <c r="AB122" s="35">
        <f t="shared" si="53"/>
        <v>0</v>
      </c>
      <c r="AC122" s="35">
        <f t="shared" si="54"/>
        <v>0</v>
      </c>
      <c r="AD122" s="15">
        <f t="shared" ca="1" si="71"/>
        <v>0</v>
      </c>
      <c r="AE122" s="15">
        <f t="shared" si="72"/>
        <v>0</v>
      </c>
      <c r="AF122" s="34" t="str">
        <f t="shared" si="73"/>
        <v/>
      </c>
      <c r="AH122" s="34">
        <v>116</v>
      </c>
      <c r="AI122" s="25" t="str">
        <f t="shared" si="74"/>
        <v/>
      </c>
      <c r="AJ122" s="26" t="str">
        <f t="shared" si="64"/>
        <v/>
      </c>
      <c r="AK122" s="27">
        <f t="shared" si="75"/>
        <v>0</v>
      </c>
      <c r="AL122" s="114" t="str">
        <f>IF(torlesztes="Egyedi",-SUMIFS(U$7:U$126,T$7:T$126,"&gt;"&amp;AJ121,T$7:T$126,"&lt;="&amp;AJ122),IFERROR(IF(torlesztes="Egyenlő tőke",IF(COUNT($AK$7:AK122)&gt;$D$15,"",-$AK$5/$D$15),0),""))</f>
        <v/>
      </c>
      <c r="AM122" s="27" t="str">
        <f t="shared" ca="1" si="65"/>
        <v/>
      </c>
      <c r="AN122" s="27">
        <f t="shared" si="57"/>
        <v>0</v>
      </c>
      <c r="AO122" s="27" t="str">
        <f>IF(torlesztes="Egyedi",-SUMIFS(U$7:U$126,T$7:T$126,"&gt;"&amp;AJ121,T$7:T$126,"&lt;="&amp;AJ122),IFERROR(IF(torlesztes="Egyenlő tőke",IF(COUNT($AN$7:AN122)&gt;$D$15,"",-$AK$5/$D$15),0),""))</f>
        <v/>
      </c>
      <c r="AP122" s="27" t="str">
        <f t="shared" si="66"/>
        <v/>
      </c>
      <c r="AR122" s="27" t="str">
        <f t="shared" ca="1" si="76"/>
        <v/>
      </c>
      <c r="AS122" s="27" t="str">
        <f t="shared" ca="1" si="67"/>
        <v/>
      </c>
      <c r="AT122" s="34" t="str">
        <f t="shared" si="77"/>
        <v/>
      </c>
    </row>
    <row r="123" spans="10:46" x14ac:dyDescent="0.25">
      <c r="J123" s="33" t="b">
        <f t="shared" si="49"/>
        <v>1</v>
      </c>
      <c r="L123" s="87"/>
      <c r="M123" s="86"/>
      <c r="N123" s="20" t="str">
        <f t="shared" si="60"/>
        <v/>
      </c>
      <c r="O123" s="9">
        <f t="shared" si="68"/>
        <v>0</v>
      </c>
      <c r="P123" s="9">
        <f t="shared" si="61"/>
        <v>0</v>
      </c>
      <c r="Q123" s="9">
        <f t="shared" si="62"/>
        <v>0</v>
      </c>
      <c r="R123" s="24" t="str">
        <f t="shared" si="63"/>
        <v/>
      </c>
      <c r="S123" s="36"/>
      <c r="T123" s="88"/>
      <c r="U123" s="86"/>
      <c r="V123" s="20" t="str">
        <f t="shared" si="50"/>
        <v/>
      </c>
      <c r="W123" s="9" t="str">
        <f t="shared" si="51"/>
        <v/>
      </c>
      <c r="X123" s="9" t="str">
        <f t="shared" ca="1" si="69"/>
        <v/>
      </c>
      <c r="Y123" s="9" t="str">
        <f t="shared" si="70"/>
        <v/>
      </c>
      <c r="Z123" s="9" t="str">
        <f t="shared" si="48"/>
        <v/>
      </c>
      <c r="AA123" s="74">
        <f t="shared" si="52"/>
        <v>0</v>
      </c>
      <c r="AB123" s="35">
        <f t="shared" si="53"/>
        <v>0</v>
      </c>
      <c r="AC123" s="35">
        <f t="shared" si="54"/>
        <v>0</v>
      </c>
      <c r="AD123" s="15">
        <f t="shared" ca="1" si="71"/>
        <v>0</v>
      </c>
      <c r="AE123" s="15">
        <f t="shared" si="72"/>
        <v>0</v>
      </c>
      <c r="AF123" s="34" t="str">
        <f t="shared" si="73"/>
        <v/>
      </c>
      <c r="AH123" s="34">
        <v>117</v>
      </c>
      <c r="AI123" s="25" t="str">
        <f t="shared" si="74"/>
        <v/>
      </c>
      <c r="AJ123" s="26" t="str">
        <f t="shared" si="64"/>
        <v/>
      </c>
      <c r="AK123" s="27">
        <f t="shared" si="75"/>
        <v>0</v>
      </c>
      <c r="AL123" s="114" t="str">
        <f>IF(torlesztes="Egyedi",-SUMIFS(U$7:U$126,T$7:T$126,"&gt;"&amp;AJ122,T$7:T$126,"&lt;="&amp;AJ123),IFERROR(IF(torlesztes="Egyenlő tőke",IF(COUNT($AK$7:AK123)&gt;$D$15,"",-$AK$5/$D$15),0),""))</f>
        <v/>
      </c>
      <c r="AM123" s="27" t="str">
        <f t="shared" ca="1" si="65"/>
        <v/>
      </c>
      <c r="AN123" s="27">
        <f t="shared" si="57"/>
        <v>0</v>
      </c>
      <c r="AO123" s="27" t="str">
        <f>IF(torlesztes="Egyedi",-SUMIFS(U$7:U$126,T$7:T$126,"&gt;"&amp;AJ122,T$7:T$126,"&lt;="&amp;AJ123),IFERROR(IF(torlesztes="Egyenlő tőke",IF(COUNT($AN$7:AN123)&gt;$D$15,"",-$AK$5/$D$15),0),""))</f>
        <v/>
      </c>
      <c r="AP123" s="27" t="str">
        <f t="shared" si="66"/>
        <v/>
      </c>
      <c r="AR123" s="27" t="str">
        <f t="shared" ca="1" si="76"/>
        <v/>
      </c>
      <c r="AS123" s="27" t="str">
        <f t="shared" ca="1" si="67"/>
        <v/>
      </c>
      <c r="AT123" s="34" t="str">
        <f t="shared" si="77"/>
        <v/>
      </c>
    </row>
    <row r="124" spans="10:46" x14ac:dyDescent="0.25">
      <c r="J124" s="33" t="b">
        <f t="shared" si="49"/>
        <v>1</v>
      </c>
      <c r="L124" s="87"/>
      <c r="M124" s="86"/>
      <c r="N124" s="20" t="str">
        <f t="shared" si="60"/>
        <v/>
      </c>
      <c r="O124" s="9">
        <f t="shared" si="68"/>
        <v>0</v>
      </c>
      <c r="P124" s="9">
        <f t="shared" si="61"/>
        <v>0</v>
      </c>
      <c r="Q124" s="9">
        <f t="shared" si="62"/>
        <v>0</v>
      </c>
      <c r="R124" s="24" t="str">
        <f t="shared" si="63"/>
        <v/>
      </c>
      <c r="S124" s="36"/>
      <c r="T124" s="88"/>
      <c r="U124" s="86"/>
      <c r="V124" s="20" t="str">
        <f t="shared" si="50"/>
        <v/>
      </c>
      <c r="W124" s="9" t="str">
        <f t="shared" si="51"/>
        <v/>
      </c>
      <c r="X124" s="9" t="str">
        <f t="shared" ca="1" si="69"/>
        <v/>
      </c>
      <c r="Y124" s="9" t="str">
        <f t="shared" si="70"/>
        <v/>
      </c>
      <c r="Z124" s="9" t="str">
        <f t="shared" si="48"/>
        <v/>
      </c>
      <c r="AA124" s="74">
        <f t="shared" si="52"/>
        <v>0</v>
      </c>
      <c r="AB124" s="35">
        <f t="shared" si="53"/>
        <v>0</v>
      </c>
      <c r="AC124" s="35">
        <f t="shared" si="54"/>
        <v>0</v>
      </c>
      <c r="AD124" s="15">
        <f t="shared" ca="1" si="71"/>
        <v>0</v>
      </c>
      <c r="AE124" s="15">
        <f t="shared" si="72"/>
        <v>0</v>
      </c>
      <c r="AF124" s="34" t="str">
        <f t="shared" si="73"/>
        <v/>
      </c>
      <c r="AH124" s="34">
        <v>118</v>
      </c>
      <c r="AI124" s="25" t="str">
        <f t="shared" si="74"/>
        <v/>
      </c>
      <c r="AJ124" s="26" t="str">
        <f t="shared" si="64"/>
        <v/>
      </c>
      <c r="AK124" s="27">
        <f t="shared" si="75"/>
        <v>0</v>
      </c>
      <c r="AL124" s="114" t="str">
        <f>IF(torlesztes="Egyedi",-SUMIFS(U$7:U$126,T$7:T$126,"&gt;"&amp;AJ123,T$7:T$126,"&lt;="&amp;AJ124),IFERROR(IF(torlesztes="Egyenlő tőke",IF(COUNT($AK$7:AK124)&gt;$D$15,"",-$AK$5/$D$15),0),""))</f>
        <v/>
      </c>
      <c r="AM124" s="27" t="str">
        <f t="shared" ca="1" si="65"/>
        <v/>
      </c>
      <c r="AN124" s="27">
        <f t="shared" si="57"/>
        <v>0</v>
      </c>
      <c r="AO124" s="27" t="str">
        <f>IF(torlesztes="Egyedi",-SUMIFS(U$7:U$126,T$7:T$126,"&gt;"&amp;AJ123,T$7:T$126,"&lt;="&amp;AJ124),IFERROR(IF(torlesztes="Egyenlő tőke",IF(COUNT($AN$7:AN124)&gt;$D$15,"",-$AK$5/$D$15),0),""))</f>
        <v/>
      </c>
      <c r="AP124" s="27" t="str">
        <f t="shared" si="66"/>
        <v/>
      </c>
      <c r="AR124" s="27" t="str">
        <f t="shared" ca="1" si="76"/>
        <v/>
      </c>
      <c r="AS124" s="27" t="str">
        <f t="shared" ca="1" si="67"/>
        <v/>
      </c>
      <c r="AT124" s="34" t="str">
        <f t="shared" si="77"/>
        <v/>
      </c>
    </row>
    <row r="125" spans="10:46" x14ac:dyDescent="0.25">
      <c r="J125" s="33" t="b">
        <f t="shared" si="49"/>
        <v>1</v>
      </c>
      <c r="L125" s="87"/>
      <c r="M125" s="86"/>
      <c r="N125" s="20" t="str">
        <f t="shared" si="60"/>
        <v/>
      </c>
      <c r="O125" s="9">
        <f t="shared" si="68"/>
        <v>0</v>
      </c>
      <c r="P125" s="9">
        <f t="shared" si="61"/>
        <v>0</v>
      </c>
      <c r="Q125" s="9">
        <f t="shared" si="62"/>
        <v>0</v>
      </c>
      <c r="R125" s="24" t="str">
        <f t="shared" si="63"/>
        <v/>
      </c>
      <c r="S125" s="36"/>
      <c r="T125" s="88"/>
      <c r="U125" s="86"/>
      <c r="V125" s="20" t="str">
        <f t="shared" si="50"/>
        <v/>
      </c>
      <c r="W125" s="9" t="str">
        <f t="shared" si="51"/>
        <v/>
      </c>
      <c r="X125" s="9" t="str">
        <f t="shared" ca="1" si="69"/>
        <v/>
      </c>
      <c r="Y125" s="9" t="str">
        <f t="shared" si="70"/>
        <v/>
      </c>
      <c r="Z125" s="9" t="str">
        <f t="shared" si="48"/>
        <v/>
      </c>
      <c r="AA125" s="74">
        <f t="shared" si="52"/>
        <v>0</v>
      </c>
      <c r="AB125" s="35">
        <f t="shared" si="53"/>
        <v>0</v>
      </c>
      <c r="AC125" s="35">
        <f t="shared" si="54"/>
        <v>0</v>
      </c>
      <c r="AD125" s="15">
        <f t="shared" ca="1" si="71"/>
        <v>0</v>
      </c>
      <c r="AE125" s="15">
        <f t="shared" si="72"/>
        <v>0</v>
      </c>
      <c r="AF125" s="34" t="str">
        <f t="shared" si="73"/>
        <v/>
      </c>
      <c r="AH125" s="34">
        <v>119</v>
      </c>
      <c r="AI125" s="25" t="str">
        <f t="shared" si="74"/>
        <v/>
      </c>
      <c r="AJ125" s="26" t="str">
        <f t="shared" si="64"/>
        <v/>
      </c>
      <c r="AK125" s="27">
        <f t="shared" si="75"/>
        <v>0</v>
      </c>
      <c r="AL125" s="114" t="str">
        <f>IF(torlesztes="Egyedi",-SUMIFS(U$7:U$126,T$7:T$126,"&gt;"&amp;AJ124,T$7:T$126,"&lt;="&amp;AJ125),IFERROR(IF(torlesztes="Egyenlő tőke",IF(COUNT($AK$7:AK125)&gt;$D$15,"",-$AK$5/$D$15),0),""))</f>
        <v/>
      </c>
      <c r="AM125" s="27" t="str">
        <f t="shared" ca="1" si="65"/>
        <v/>
      </c>
      <c r="AN125" s="27">
        <f t="shared" si="57"/>
        <v>0</v>
      </c>
      <c r="AO125" s="27" t="str">
        <f>IF(torlesztes="Egyedi",-SUMIFS(U$7:U$126,T$7:T$126,"&gt;"&amp;AJ124,T$7:T$126,"&lt;="&amp;AJ125),IFERROR(IF(torlesztes="Egyenlő tőke",IF(COUNT($AN$7:AN125)&gt;$D$15,"",-$AK$5/$D$15),0),""))</f>
        <v/>
      </c>
      <c r="AP125" s="27" t="str">
        <f t="shared" si="66"/>
        <v/>
      </c>
      <c r="AR125" s="27" t="str">
        <f t="shared" ca="1" si="76"/>
        <v/>
      </c>
      <c r="AS125" s="27" t="str">
        <f t="shared" ca="1" si="67"/>
        <v/>
      </c>
      <c r="AT125" s="34" t="str">
        <f t="shared" si="77"/>
        <v/>
      </c>
    </row>
    <row r="126" spans="10:46" x14ac:dyDescent="0.25">
      <c r="J126" s="33" t="b">
        <f t="shared" si="49"/>
        <v>1</v>
      </c>
      <c r="L126" s="87"/>
      <c r="M126" s="86"/>
      <c r="N126" s="20" t="str">
        <f t="shared" si="60"/>
        <v/>
      </c>
      <c r="O126" s="9">
        <f t="shared" si="68"/>
        <v>0</v>
      </c>
      <c r="P126" s="9">
        <f t="shared" si="61"/>
        <v>0</v>
      </c>
      <c r="Q126" s="9">
        <f t="shared" si="62"/>
        <v>0</v>
      </c>
      <c r="R126" s="24" t="str">
        <f t="shared" si="63"/>
        <v/>
      </c>
      <c r="S126" s="36"/>
      <c r="T126" s="88"/>
      <c r="U126" s="86"/>
      <c r="V126" s="20" t="str">
        <f t="shared" si="50"/>
        <v/>
      </c>
      <c r="W126" s="9" t="str">
        <f t="shared" si="51"/>
        <v/>
      </c>
      <c r="X126" s="9" t="str">
        <f t="shared" ca="1" si="69"/>
        <v/>
      </c>
      <c r="Y126" s="9" t="str">
        <f t="shared" si="70"/>
        <v/>
      </c>
      <c r="Z126" s="9" t="str">
        <f t="shared" si="48"/>
        <v/>
      </c>
      <c r="AA126" s="74">
        <f t="shared" si="52"/>
        <v>0</v>
      </c>
      <c r="AB126" s="35">
        <f t="shared" si="53"/>
        <v>0</v>
      </c>
      <c r="AC126" s="35">
        <f t="shared" si="54"/>
        <v>0</v>
      </c>
      <c r="AD126" s="15">
        <f t="shared" ca="1" si="71"/>
        <v>0</v>
      </c>
      <c r="AE126" s="15">
        <f t="shared" si="72"/>
        <v>0</v>
      </c>
      <c r="AF126" s="34" t="str">
        <f t="shared" si="73"/>
        <v/>
      </c>
      <c r="AH126" s="34">
        <v>120</v>
      </c>
      <c r="AI126" s="25" t="str">
        <f t="shared" si="74"/>
        <v/>
      </c>
      <c r="AJ126" s="26" t="str">
        <f t="shared" si="64"/>
        <v/>
      </c>
      <c r="AK126" s="27">
        <f t="shared" si="75"/>
        <v>0</v>
      </c>
      <c r="AL126" s="114" t="str">
        <f>IF(torlesztes="Egyedi",-SUMIFS(U$7:U$126,T$7:T$126,"&gt;"&amp;AJ125,T$7:T$126,"&lt;="&amp;AJ126),IFERROR(IF(torlesztes="Egyenlő tőke",IF(COUNT($AK$7:AK126)&gt;$D$15,"",-$AK$5/$D$15),0),""))</f>
        <v/>
      </c>
      <c r="AM126" s="27" t="str">
        <f t="shared" ca="1" si="65"/>
        <v/>
      </c>
      <c r="AN126" s="27">
        <f t="shared" si="57"/>
        <v>0</v>
      </c>
      <c r="AO126" s="27" t="str">
        <f>IF(torlesztes="Egyedi",-SUMIFS(U$7:U$126,T$7:T$126,"&gt;"&amp;AJ125,T$7:T$126,"&lt;="&amp;AJ126),IFERROR(IF(torlesztes="Egyenlő tőke",IF(COUNT($AN$7:AN126)&gt;$D$15,"",-$AK$5/$D$15),0),""))</f>
        <v/>
      </c>
      <c r="AP126" s="27" t="str">
        <f t="shared" si="66"/>
        <v/>
      </c>
      <c r="AR126" s="27" t="str">
        <f t="shared" ca="1" si="76"/>
        <v/>
      </c>
      <c r="AS126" s="27" t="str">
        <f t="shared" ca="1" si="67"/>
        <v/>
      </c>
      <c r="AT126" s="34" t="str">
        <f t="shared" si="77"/>
        <v/>
      </c>
    </row>
    <row r="127" spans="10:46" x14ac:dyDescent="0.25">
      <c r="S127" s="36"/>
    </row>
    <row r="128" spans="10:46" x14ac:dyDescent="0.25">
      <c r="S128" s="36"/>
    </row>
    <row r="129" spans="19:19" x14ac:dyDescent="0.25">
      <c r="S129" s="36"/>
    </row>
    <row r="130" spans="19:19" x14ac:dyDescent="0.25">
      <c r="S130" s="36"/>
    </row>
    <row r="131" spans="19:19" x14ac:dyDescent="0.25">
      <c r="S131" s="36"/>
    </row>
    <row r="132" spans="19:19" x14ac:dyDescent="0.25">
      <c r="S132" s="36"/>
    </row>
    <row r="133" spans="19:19" x14ac:dyDescent="0.25">
      <c r="S133" s="36"/>
    </row>
    <row r="134" spans="19:19" x14ac:dyDescent="0.25">
      <c r="S134" s="36"/>
    </row>
    <row r="135" spans="19:19" x14ac:dyDescent="0.25">
      <c r="S135" s="36"/>
    </row>
    <row r="136" spans="19:19" x14ac:dyDescent="0.25">
      <c r="S136" s="36"/>
    </row>
    <row r="137" spans="19:19" x14ac:dyDescent="0.25">
      <c r="S137" s="36"/>
    </row>
    <row r="138" spans="19:19" x14ac:dyDescent="0.25">
      <c r="S138" s="36"/>
    </row>
    <row r="139" spans="19:19" x14ac:dyDescent="0.25">
      <c r="S139" s="36"/>
    </row>
    <row r="140" spans="19:19" x14ac:dyDescent="0.25">
      <c r="S140" s="36"/>
    </row>
    <row r="141" spans="19:19" x14ac:dyDescent="0.25">
      <c r="S141" s="36"/>
    </row>
    <row r="142" spans="19:19" x14ac:dyDescent="0.25">
      <c r="S142" s="36"/>
    </row>
    <row r="143" spans="19:19" x14ac:dyDescent="0.25">
      <c r="S143" s="36"/>
    </row>
    <row r="144" spans="19:19" x14ac:dyDescent="0.25">
      <c r="S144" s="36"/>
    </row>
    <row r="145" spans="19:19" x14ac:dyDescent="0.25">
      <c r="S145" s="36"/>
    </row>
    <row r="146" spans="19:19" x14ac:dyDescent="0.25">
      <c r="S146" s="36"/>
    </row>
    <row r="147" spans="19:19" x14ac:dyDescent="0.25">
      <c r="S147" s="36"/>
    </row>
    <row r="148" spans="19:19" x14ac:dyDescent="0.25">
      <c r="S148" s="36"/>
    </row>
    <row r="149" spans="19:19" x14ac:dyDescent="0.25">
      <c r="S149" s="36"/>
    </row>
    <row r="150" spans="19:19" x14ac:dyDescent="0.25">
      <c r="S150" s="36"/>
    </row>
    <row r="151" spans="19:19" x14ac:dyDescent="0.25">
      <c r="S151" s="36"/>
    </row>
    <row r="152" spans="19:19" x14ac:dyDescent="0.25">
      <c r="S152" s="36"/>
    </row>
    <row r="153" spans="19:19" x14ac:dyDescent="0.25">
      <c r="S153" s="36"/>
    </row>
    <row r="154" spans="19:19" x14ac:dyDescent="0.25">
      <c r="S154" s="36"/>
    </row>
    <row r="155" spans="19:19" x14ac:dyDescent="0.25">
      <c r="S155" s="36"/>
    </row>
    <row r="156" spans="19:19" x14ac:dyDescent="0.25">
      <c r="S156" s="36"/>
    </row>
    <row r="157" spans="19:19" x14ac:dyDescent="0.25">
      <c r="S157" s="36"/>
    </row>
    <row r="158" spans="19:19" x14ac:dyDescent="0.25">
      <c r="S158" s="36"/>
    </row>
    <row r="159" spans="19:19" x14ac:dyDescent="0.25">
      <c r="S159" s="36"/>
    </row>
    <row r="160" spans="19:19" x14ac:dyDescent="0.25">
      <c r="S160" s="36"/>
    </row>
    <row r="161" spans="19:19" x14ac:dyDescent="0.25">
      <c r="S161" s="36"/>
    </row>
    <row r="162" spans="19:19" x14ac:dyDescent="0.25">
      <c r="S162" s="36"/>
    </row>
    <row r="163" spans="19:19" x14ac:dyDescent="0.25">
      <c r="S163" s="36"/>
    </row>
    <row r="164" spans="19:19" x14ac:dyDescent="0.25">
      <c r="S164" s="36"/>
    </row>
    <row r="165" spans="19:19" x14ac:dyDescent="0.25">
      <c r="S165" s="36"/>
    </row>
    <row r="166" spans="19:19" x14ac:dyDescent="0.25">
      <c r="S166" s="36"/>
    </row>
    <row r="167" spans="19:19" x14ac:dyDescent="0.25">
      <c r="S167" s="36"/>
    </row>
    <row r="168" spans="19:19" x14ac:dyDescent="0.25">
      <c r="S168" s="36"/>
    </row>
    <row r="169" spans="19:19" x14ac:dyDescent="0.25">
      <c r="S169" s="36"/>
    </row>
    <row r="170" spans="19:19" x14ac:dyDescent="0.25">
      <c r="S170" s="36"/>
    </row>
    <row r="171" spans="19:19" x14ac:dyDescent="0.25">
      <c r="S171" s="36"/>
    </row>
    <row r="172" spans="19:19" x14ac:dyDescent="0.25">
      <c r="S172" s="36"/>
    </row>
    <row r="173" spans="19:19" x14ac:dyDescent="0.25">
      <c r="S173" s="36"/>
    </row>
    <row r="174" spans="19:19" x14ac:dyDescent="0.25">
      <c r="S174" s="36"/>
    </row>
    <row r="175" spans="19:19" x14ac:dyDescent="0.25">
      <c r="S175" s="36"/>
    </row>
    <row r="176" spans="19:19" x14ac:dyDescent="0.25">
      <c r="S176" s="36"/>
    </row>
    <row r="177" spans="19:19" x14ac:dyDescent="0.25">
      <c r="S177" s="36"/>
    </row>
    <row r="178" spans="19:19" x14ac:dyDescent="0.25">
      <c r="S178" s="36"/>
    </row>
    <row r="179" spans="19:19" x14ac:dyDescent="0.25">
      <c r="S179" s="36"/>
    </row>
    <row r="180" spans="19:19" x14ac:dyDescent="0.25">
      <c r="S180" s="36"/>
    </row>
    <row r="181" spans="19:19" x14ac:dyDescent="0.25">
      <c r="S181" s="36"/>
    </row>
    <row r="182" spans="19:19" x14ac:dyDescent="0.25">
      <c r="S182" s="36"/>
    </row>
    <row r="183" spans="19:19" x14ac:dyDescent="0.25">
      <c r="S183" s="36"/>
    </row>
    <row r="184" spans="19:19" x14ac:dyDescent="0.25">
      <c r="S184" s="36"/>
    </row>
    <row r="185" spans="19:19" x14ac:dyDescent="0.25">
      <c r="S185" s="36"/>
    </row>
    <row r="186" spans="19:19" x14ac:dyDescent="0.25">
      <c r="S186" s="36"/>
    </row>
    <row r="187" spans="19:19" x14ac:dyDescent="0.25">
      <c r="S187" s="36"/>
    </row>
    <row r="188" spans="19:19" x14ac:dyDescent="0.25">
      <c r="S188" s="36"/>
    </row>
    <row r="189" spans="19:19" x14ac:dyDescent="0.25">
      <c r="S189" s="36"/>
    </row>
    <row r="190" spans="19:19" x14ac:dyDescent="0.25">
      <c r="S190" s="36"/>
    </row>
    <row r="191" spans="19:19" x14ac:dyDescent="0.25">
      <c r="S191" s="36"/>
    </row>
    <row r="192" spans="19:19" x14ac:dyDescent="0.25">
      <c r="S192" s="36"/>
    </row>
    <row r="193" spans="19:19" x14ac:dyDescent="0.25">
      <c r="S193" s="36"/>
    </row>
    <row r="194" spans="19:19" x14ac:dyDescent="0.25">
      <c r="S194" s="36"/>
    </row>
    <row r="195" spans="19:19" x14ac:dyDescent="0.25">
      <c r="S195" s="36"/>
    </row>
    <row r="196" spans="19:19" x14ac:dyDescent="0.25">
      <c r="S196" s="36"/>
    </row>
    <row r="197" spans="19:19" x14ac:dyDescent="0.25">
      <c r="S197" s="36"/>
    </row>
    <row r="198" spans="19:19" x14ac:dyDescent="0.25">
      <c r="S198" s="36"/>
    </row>
    <row r="199" spans="19:19" x14ac:dyDescent="0.25">
      <c r="S199" s="36"/>
    </row>
    <row r="200" spans="19:19" x14ac:dyDescent="0.25">
      <c r="S200" s="36"/>
    </row>
    <row r="201" spans="19:19" x14ac:dyDescent="0.25">
      <c r="S201" s="36"/>
    </row>
    <row r="202" spans="19:19" x14ac:dyDescent="0.25">
      <c r="S202" s="36"/>
    </row>
    <row r="203" spans="19:19" x14ac:dyDescent="0.25">
      <c r="S203" s="36"/>
    </row>
    <row r="204" spans="19:19" x14ac:dyDescent="0.25">
      <c r="S204" s="36"/>
    </row>
    <row r="205" spans="19:19" x14ac:dyDescent="0.25">
      <c r="S205" s="36"/>
    </row>
    <row r="206" spans="19:19" x14ac:dyDescent="0.25">
      <c r="S206" s="36"/>
    </row>
    <row r="207" spans="19:19" x14ac:dyDescent="0.25">
      <c r="S207" s="36"/>
    </row>
    <row r="208" spans="19:19" x14ac:dyDescent="0.25">
      <c r="S208" s="36"/>
    </row>
    <row r="209" spans="19:19" x14ac:dyDescent="0.25">
      <c r="S209" s="36"/>
    </row>
    <row r="210" spans="19:19" x14ac:dyDescent="0.25">
      <c r="S210" s="36"/>
    </row>
    <row r="211" spans="19:19" x14ac:dyDescent="0.25">
      <c r="S211" s="36"/>
    </row>
    <row r="212" spans="19:19" x14ac:dyDescent="0.25">
      <c r="S212" s="36"/>
    </row>
    <row r="213" spans="19:19" x14ac:dyDescent="0.25">
      <c r="S213" s="36"/>
    </row>
    <row r="214" spans="19:19" x14ac:dyDescent="0.25">
      <c r="S214" s="36"/>
    </row>
    <row r="215" spans="19:19" x14ac:dyDescent="0.25">
      <c r="S215" s="36"/>
    </row>
    <row r="216" spans="19:19" x14ac:dyDescent="0.25">
      <c r="S216" s="36"/>
    </row>
    <row r="217" spans="19:19" x14ac:dyDescent="0.25">
      <c r="S217" s="36"/>
    </row>
    <row r="218" spans="19:19" x14ac:dyDescent="0.25">
      <c r="S218" s="36"/>
    </row>
    <row r="219" spans="19:19" x14ac:dyDescent="0.25">
      <c r="S219" s="36"/>
    </row>
    <row r="220" spans="19:19" x14ac:dyDescent="0.25">
      <c r="S220" s="36"/>
    </row>
    <row r="221" spans="19:19" x14ac:dyDescent="0.25">
      <c r="S221" s="36"/>
    </row>
    <row r="222" spans="19:19" x14ac:dyDescent="0.25">
      <c r="S222" s="36"/>
    </row>
    <row r="223" spans="19:19" x14ac:dyDescent="0.25">
      <c r="S223" s="36"/>
    </row>
    <row r="224" spans="19:19" x14ac:dyDescent="0.25">
      <c r="S224" s="36"/>
    </row>
    <row r="225" spans="19:19" x14ac:dyDescent="0.25">
      <c r="S225" s="36"/>
    </row>
    <row r="226" spans="19:19" x14ac:dyDescent="0.25">
      <c r="S226" s="36"/>
    </row>
    <row r="227" spans="19:19" x14ac:dyDescent="0.25">
      <c r="S227" s="36"/>
    </row>
    <row r="228" spans="19:19" x14ac:dyDescent="0.25">
      <c r="S228" s="36"/>
    </row>
    <row r="229" spans="19:19" x14ac:dyDescent="0.25">
      <c r="S229" s="36"/>
    </row>
    <row r="230" spans="19:19" x14ac:dyDescent="0.25">
      <c r="S230" s="36"/>
    </row>
    <row r="231" spans="19:19" x14ac:dyDescent="0.25">
      <c r="S231" s="36"/>
    </row>
    <row r="232" spans="19:19" x14ac:dyDescent="0.25">
      <c r="S232" s="36"/>
    </row>
    <row r="233" spans="19:19" x14ac:dyDescent="0.25">
      <c r="S233" s="36"/>
    </row>
    <row r="234" spans="19:19" x14ac:dyDescent="0.25">
      <c r="S234" s="36"/>
    </row>
    <row r="235" spans="19:19" x14ac:dyDescent="0.25">
      <c r="S235" s="36"/>
    </row>
    <row r="236" spans="19:19" x14ac:dyDescent="0.25">
      <c r="S236" s="36"/>
    </row>
    <row r="237" spans="19:19" x14ac:dyDescent="0.25">
      <c r="S237" s="36"/>
    </row>
    <row r="238" spans="19:19" x14ac:dyDescent="0.25">
      <c r="S238" s="36"/>
    </row>
    <row r="239" spans="19:19" x14ac:dyDescent="0.25">
      <c r="S239" s="36"/>
    </row>
    <row r="240" spans="19:19" x14ac:dyDescent="0.25">
      <c r="S240" s="36"/>
    </row>
    <row r="241" spans="19:19" x14ac:dyDescent="0.25">
      <c r="S241" s="36"/>
    </row>
    <row r="242" spans="19:19" x14ac:dyDescent="0.25">
      <c r="S242" s="36"/>
    </row>
    <row r="243" spans="19:19" x14ac:dyDescent="0.25">
      <c r="S243" s="36"/>
    </row>
    <row r="244" spans="19:19" x14ac:dyDescent="0.25">
      <c r="S244" s="36"/>
    </row>
    <row r="245" spans="19:19" x14ac:dyDescent="0.25">
      <c r="S245" s="36"/>
    </row>
    <row r="246" spans="19:19" x14ac:dyDescent="0.25">
      <c r="S246" s="36"/>
    </row>
    <row r="247" spans="19:19" x14ac:dyDescent="0.25">
      <c r="S247" s="36"/>
    </row>
    <row r="248" spans="19:19" x14ac:dyDescent="0.25">
      <c r="S248" s="36"/>
    </row>
    <row r="249" spans="19:19" x14ac:dyDescent="0.25">
      <c r="S249" s="36"/>
    </row>
    <row r="250" spans="19:19" x14ac:dyDescent="0.25">
      <c r="S250" s="36"/>
    </row>
    <row r="251" spans="19:19" x14ac:dyDescent="0.25">
      <c r="S251" s="36"/>
    </row>
    <row r="252" spans="19:19" x14ac:dyDescent="0.25">
      <c r="S252" s="36"/>
    </row>
    <row r="253" spans="19:19" x14ac:dyDescent="0.25">
      <c r="S253" s="36"/>
    </row>
    <row r="254" spans="19:19" x14ac:dyDescent="0.25">
      <c r="S254" s="36"/>
    </row>
    <row r="255" spans="19:19" x14ac:dyDescent="0.25">
      <c r="S255" s="36"/>
    </row>
    <row r="256" spans="19:19" x14ac:dyDescent="0.25">
      <c r="S256" s="36"/>
    </row>
    <row r="257" spans="19:19" x14ac:dyDescent="0.25">
      <c r="S257" s="36"/>
    </row>
    <row r="258" spans="19:19" x14ac:dyDescent="0.25">
      <c r="S258" s="36"/>
    </row>
    <row r="259" spans="19:19" x14ac:dyDescent="0.25">
      <c r="S259" s="36"/>
    </row>
    <row r="260" spans="19:19" x14ac:dyDescent="0.25">
      <c r="S260" s="36"/>
    </row>
    <row r="261" spans="19:19" x14ac:dyDescent="0.25">
      <c r="S261" s="36"/>
    </row>
    <row r="262" spans="19:19" x14ac:dyDescent="0.25">
      <c r="S262" s="36"/>
    </row>
    <row r="263" spans="19:19" x14ac:dyDescent="0.25">
      <c r="S263" s="36"/>
    </row>
    <row r="264" spans="19:19" x14ac:dyDescent="0.25">
      <c r="S264" s="36"/>
    </row>
    <row r="265" spans="19:19" x14ac:dyDescent="0.25">
      <c r="S265" s="36"/>
    </row>
    <row r="266" spans="19:19" x14ac:dyDescent="0.25">
      <c r="S266" s="36"/>
    </row>
    <row r="267" spans="19:19" x14ac:dyDescent="0.25">
      <c r="S267" s="36"/>
    </row>
    <row r="268" spans="19:19" x14ac:dyDescent="0.25">
      <c r="S268" s="36"/>
    </row>
    <row r="269" spans="19:19" x14ac:dyDescent="0.25">
      <c r="S269" s="36"/>
    </row>
    <row r="270" spans="19:19" x14ac:dyDescent="0.25">
      <c r="S270" s="36"/>
    </row>
    <row r="271" spans="19:19" x14ac:dyDescent="0.25">
      <c r="S271" s="36"/>
    </row>
    <row r="272" spans="19:19" x14ac:dyDescent="0.25">
      <c r="S272" s="36"/>
    </row>
    <row r="273" spans="19:19" x14ac:dyDescent="0.25">
      <c r="S273" s="36"/>
    </row>
    <row r="274" spans="19:19" x14ac:dyDescent="0.25">
      <c r="S274" s="36"/>
    </row>
    <row r="275" spans="19:19" x14ac:dyDescent="0.25">
      <c r="S275" s="36"/>
    </row>
    <row r="276" spans="19:19" x14ac:dyDescent="0.25">
      <c r="S276" s="36"/>
    </row>
    <row r="277" spans="19:19" x14ac:dyDescent="0.25">
      <c r="S277" s="36"/>
    </row>
    <row r="278" spans="19:19" x14ac:dyDescent="0.25">
      <c r="S278" s="36"/>
    </row>
    <row r="279" spans="19:19" x14ac:dyDescent="0.25">
      <c r="S279" s="36"/>
    </row>
    <row r="280" spans="19:19" x14ac:dyDescent="0.25">
      <c r="S280" s="36"/>
    </row>
    <row r="281" spans="19:19" x14ac:dyDescent="0.25">
      <c r="S281" s="36"/>
    </row>
    <row r="282" spans="19:19" x14ac:dyDescent="0.25">
      <c r="S282" s="36"/>
    </row>
    <row r="283" spans="19:19" x14ac:dyDescent="0.25">
      <c r="S283" s="36"/>
    </row>
    <row r="284" spans="19:19" x14ac:dyDescent="0.25">
      <c r="S284" s="36"/>
    </row>
    <row r="285" spans="19:19" x14ac:dyDescent="0.25">
      <c r="S285" s="36"/>
    </row>
    <row r="286" spans="19:19" x14ac:dyDescent="0.25">
      <c r="S286" s="36"/>
    </row>
    <row r="287" spans="19:19" x14ac:dyDescent="0.25">
      <c r="S287" s="36"/>
    </row>
    <row r="288" spans="19:19" x14ac:dyDescent="0.25">
      <c r="S288" s="36"/>
    </row>
    <row r="289" spans="19:19" x14ac:dyDescent="0.25">
      <c r="S289" s="36"/>
    </row>
    <row r="290" spans="19:19" x14ac:dyDescent="0.25">
      <c r="S290" s="36"/>
    </row>
    <row r="291" spans="19:19" x14ac:dyDescent="0.25">
      <c r="S291" s="36"/>
    </row>
    <row r="292" spans="19:19" x14ac:dyDescent="0.25">
      <c r="S292" s="36"/>
    </row>
    <row r="293" spans="19:19" x14ac:dyDescent="0.25">
      <c r="S293" s="36"/>
    </row>
    <row r="294" spans="19:19" x14ac:dyDescent="0.25">
      <c r="S294" s="36"/>
    </row>
    <row r="295" spans="19:19" x14ac:dyDescent="0.25">
      <c r="S295" s="36"/>
    </row>
    <row r="296" spans="19:19" x14ac:dyDescent="0.25">
      <c r="S296" s="36"/>
    </row>
    <row r="297" spans="19:19" x14ac:dyDescent="0.25">
      <c r="S297" s="36"/>
    </row>
    <row r="298" spans="19:19" x14ac:dyDescent="0.25">
      <c r="S298" s="36"/>
    </row>
    <row r="299" spans="19:19" x14ac:dyDescent="0.25">
      <c r="S299" s="36"/>
    </row>
    <row r="300" spans="19:19" x14ac:dyDescent="0.25">
      <c r="S300" s="36"/>
    </row>
    <row r="301" spans="19:19" x14ac:dyDescent="0.25">
      <c r="S301" s="36"/>
    </row>
    <row r="302" spans="19:19" x14ac:dyDescent="0.25">
      <c r="S302" s="36"/>
    </row>
    <row r="303" spans="19:19" x14ac:dyDescent="0.25">
      <c r="S303" s="36"/>
    </row>
    <row r="304" spans="19:19" x14ac:dyDescent="0.25">
      <c r="S304" s="36"/>
    </row>
    <row r="305" spans="19:19" x14ac:dyDescent="0.25">
      <c r="S305" s="36"/>
    </row>
    <row r="306" spans="19:19" x14ac:dyDescent="0.25">
      <c r="S306" s="36"/>
    </row>
    <row r="307" spans="19:19" x14ac:dyDescent="0.25">
      <c r="S307" s="36"/>
    </row>
    <row r="308" spans="19:19" x14ac:dyDescent="0.25">
      <c r="S308" s="36"/>
    </row>
    <row r="309" spans="19:19" x14ac:dyDescent="0.25">
      <c r="S309" s="36"/>
    </row>
    <row r="310" spans="19:19" x14ac:dyDescent="0.25">
      <c r="S310" s="36"/>
    </row>
    <row r="311" spans="19:19" x14ac:dyDescent="0.25">
      <c r="S311" s="36"/>
    </row>
    <row r="312" spans="19:19" x14ac:dyDescent="0.25">
      <c r="S312" s="36"/>
    </row>
    <row r="313" spans="19:19" x14ac:dyDescent="0.25">
      <c r="S313" s="36"/>
    </row>
    <row r="314" spans="19:19" x14ac:dyDescent="0.25">
      <c r="S314" s="36"/>
    </row>
    <row r="315" spans="19:19" x14ac:dyDescent="0.25">
      <c r="S315" s="36"/>
    </row>
    <row r="316" spans="19:19" x14ac:dyDescent="0.25">
      <c r="S316" s="36"/>
    </row>
    <row r="317" spans="19:19" x14ac:dyDescent="0.25">
      <c r="S317" s="36"/>
    </row>
    <row r="318" spans="19:19" x14ac:dyDescent="0.25">
      <c r="S318" s="36"/>
    </row>
    <row r="319" spans="19:19" x14ac:dyDescent="0.25">
      <c r="S319" s="36"/>
    </row>
    <row r="320" spans="19:19" x14ac:dyDescent="0.25">
      <c r="S320" s="36"/>
    </row>
    <row r="321" spans="19:19" x14ac:dyDescent="0.25">
      <c r="S321" s="36"/>
    </row>
    <row r="322" spans="19:19" x14ac:dyDescent="0.25">
      <c r="S322" s="36"/>
    </row>
    <row r="323" spans="19:19" x14ac:dyDescent="0.25">
      <c r="S323" s="36"/>
    </row>
    <row r="324" spans="19:19" x14ac:dyDescent="0.25">
      <c r="S324" s="36"/>
    </row>
    <row r="325" spans="19:19" x14ac:dyDescent="0.25">
      <c r="S325" s="36"/>
    </row>
    <row r="326" spans="19:19" x14ac:dyDescent="0.25">
      <c r="S326" s="36"/>
    </row>
    <row r="327" spans="19:19" x14ac:dyDescent="0.25">
      <c r="S327" s="36"/>
    </row>
    <row r="328" spans="19:19" x14ac:dyDescent="0.25">
      <c r="S328" s="36"/>
    </row>
    <row r="329" spans="19:19" x14ac:dyDescent="0.25">
      <c r="S329" s="36"/>
    </row>
    <row r="330" spans="19:19" x14ac:dyDescent="0.25">
      <c r="S330" s="36"/>
    </row>
    <row r="331" spans="19:19" x14ac:dyDescent="0.25">
      <c r="S331" s="36"/>
    </row>
    <row r="332" spans="19:19" x14ac:dyDescent="0.25">
      <c r="S332" s="36"/>
    </row>
    <row r="333" spans="19:19" x14ac:dyDescent="0.25">
      <c r="S333" s="36"/>
    </row>
    <row r="334" spans="19:19" x14ac:dyDescent="0.25">
      <c r="S334" s="36"/>
    </row>
    <row r="335" spans="19:19" x14ac:dyDescent="0.25">
      <c r="S335" s="36"/>
    </row>
    <row r="336" spans="19:19" x14ac:dyDescent="0.25">
      <c r="S336" s="36"/>
    </row>
    <row r="337" spans="19:19" x14ac:dyDescent="0.25">
      <c r="S337" s="36"/>
    </row>
    <row r="338" spans="19:19" x14ac:dyDescent="0.25">
      <c r="S338" s="36"/>
    </row>
    <row r="339" spans="19:19" x14ac:dyDescent="0.25">
      <c r="S339" s="36"/>
    </row>
    <row r="340" spans="19:19" x14ac:dyDescent="0.25">
      <c r="S340" s="36"/>
    </row>
    <row r="341" spans="19:19" x14ac:dyDescent="0.25">
      <c r="S341" s="36"/>
    </row>
    <row r="342" spans="19:19" x14ac:dyDescent="0.25">
      <c r="S342" s="36"/>
    </row>
    <row r="343" spans="19:19" x14ac:dyDescent="0.25">
      <c r="S343" s="36"/>
    </row>
    <row r="344" spans="19:19" x14ac:dyDescent="0.25">
      <c r="S344" s="36"/>
    </row>
    <row r="345" spans="19:19" x14ac:dyDescent="0.25">
      <c r="S345" s="36"/>
    </row>
    <row r="346" spans="19:19" x14ac:dyDescent="0.25">
      <c r="S346" s="36"/>
    </row>
    <row r="347" spans="19:19" x14ac:dyDescent="0.25">
      <c r="S347" s="36"/>
    </row>
    <row r="348" spans="19:19" x14ac:dyDescent="0.25">
      <c r="S348" s="36"/>
    </row>
    <row r="349" spans="19:19" x14ac:dyDescent="0.25">
      <c r="S349" s="36"/>
    </row>
    <row r="350" spans="19:19" x14ac:dyDescent="0.25">
      <c r="S350" s="36"/>
    </row>
    <row r="351" spans="19:19" x14ac:dyDescent="0.25">
      <c r="S351" s="36"/>
    </row>
    <row r="352" spans="19:19" x14ac:dyDescent="0.25">
      <c r="S352" s="36"/>
    </row>
    <row r="353" spans="19:19" x14ac:dyDescent="0.25">
      <c r="S353" s="36"/>
    </row>
    <row r="354" spans="19:19" x14ac:dyDescent="0.25">
      <c r="S354" s="36"/>
    </row>
    <row r="355" spans="19:19" x14ac:dyDescent="0.25">
      <c r="S355" s="36"/>
    </row>
    <row r="356" spans="19:19" x14ac:dyDescent="0.25">
      <c r="S356" s="36"/>
    </row>
    <row r="357" spans="19:19" x14ac:dyDescent="0.25">
      <c r="S357" s="36"/>
    </row>
    <row r="358" spans="19:19" x14ac:dyDescent="0.25">
      <c r="S358" s="36"/>
    </row>
    <row r="359" spans="19:19" x14ac:dyDescent="0.25">
      <c r="S359" s="36"/>
    </row>
    <row r="360" spans="19:19" x14ac:dyDescent="0.25">
      <c r="S360" s="36"/>
    </row>
    <row r="361" spans="19:19" x14ac:dyDescent="0.25">
      <c r="S361" s="36"/>
    </row>
    <row r="362" spans="19:19" x14ac:dyDescent="0.25">
      <c r="S362" s="36"/>
    </row>
    <row r="363" spans="19:19" x14ac:dyDescent="0.25">
      <c r="S363" s="36"/>
    </row>
    <row r="364" spans="19:19" x14ac:dyDescent="0.25">
      <c r="S364" s="36"/>
    </row>
    <row r="365" spans="19:19" x14ac:dyDescent="0.25">
      <c r="S365" s="36"/>
    </row>
    <row r="366" spans="19:19" x14ac:dyDescent="0.25">
      <c r="S366" s="36"/>
    </row>
    <row r="367" spans="19:19" x14ac:dyDescent="0.25">
      <c r="S367" s="36"/>
    </row>
    <row r="368" spans="19:19" x14ac:dyDescent="0.25">
      <c r="S368" s="36"/>
    </row>
    <row r="369" spans="19:19" x14ac:dyDescent="0.25">
      <c r="S369" s="36"/>
    </row>
    <row r="370" spans="19:19" x14ac:dyDescent="0.25">
      <c r="S370" s="36"/>
    </row>
    <row r="371" spans="19:19" x14ac:dyDescent="0.25">
      <c r="S371" s="36"/>
    </row>
    <row r="372" spans="19:19" x14ac:dyDescent="0.25">
      <c r="S372" s="36"/>
    </row>
    <row r="373" spans="19:19" x14ac:dyDescent="0.25">
      <c r="S373" s="36"/>
    </row>
    <row r="374" spans="19:19" x14ac:dyDescent="0.25">
      <c r="S374" s="36"/>
    </row>
    <row r="375" spans="19:19" x14ac:dyDescent="0.25">
      <c r="S375" s="36"/>
    </row>
    <row r="376" spans="19:19" x14ac:dyDescent="0.25">
      <c r="S376" s="36"/>
    </row>
    <row r="377" spans="19:19" x14ac:dyDescent="0.25">
      <c r="S377" s="36"/>
    </row>
    <row r="378" spans="19:19" x14ac:dyDescent="0.25">
      <c r="S378" s="36"/>
    </row>
    <row r="379" spans="19:19" x14ac:dyDescent="0.25">
      <c r="S379" s="36"/>
    </row>
    <row r="380" spans="19:19" x14ac:dyDescent="0.25">
      <c r="S380" s="36"/>
    </row>
    <row r="381" spans="19:19" x14ac:dyDescent="0.25">
      <c r="S381" s="36"/>
    </row>
    <row r="382" spans="19:19" x14ac:dyDescent="0.25">
      <c r="S382" s="36"/>
    </row>
    <row r="383" spans="19:19" x14ac:dyDescent="0.25">
      <c r="S383" s="36"/>
    </row>
    <row r="384" spans="19:19" x14ac:dyDescent="0.25">
      <c r="S384" s="36"/>
    </row>
    <row r="385" spans="19:19" x14ac:dyDescent="0.25">
      <c r="S385" s="36"/>
    </row>
    <row r="386" spans="19:19" x14ac:dyDescent="0.25">
      <c r="S386" s="36"/>
    </row>
    <row r="387" spans="19:19" x14ac:dyDescent="0.25">
      <c r="S387" s="36"/>
    </row>
    <row r="388" spans="19:19" x14ac:dyDescent="0.25">
      <c r="S388" s="36"/>
    </row>
    <row r="389" spans="19:19" x14ac:dyDescent="0.25">
      <c r="S389" s="36"/>
    </row>
    <row r="390" spans="19:19" x14ac:dyDescent="0.25">
      <c r="S390" s="36"/>
    </row>
    <row r="391" spans="19:19" x14ac:dyDescent="0.25">
      <c r="S391" s="36"/>
    </row>
    <row r="392" spans="19:19" x14ac:dyDescent="0.25">
      <c r="S392" s="36"/>
    </row>
    <row r="393" spans="19:19" x14ac:dyDescent="0.25">
      <c r="S393" s="36"/>
    </row>
    <row r="394" spans="19:19" x14ac:dyDescent="0.25">
      <c r="S394" s="36"/>
    </row>
    <row r="395" spans="19:19" x14ac:dyDescent="0.25">
      <c r="S395" s="36"/>
    </row>
    <row r="396" spans="19:19" x14ac:dyDescent="0.25">
      <c r="S396" s="36"/>
    </row>
    <row r="397" spans="19:19" x14ac:dyDescent="0.25">
      <c r="S397" s="36"/>
    </row>
    <row r="398" spans="19:19" x14ac:dyDescent="0.25">
      <c r="S398" s="36"/>
    </row>
    <row r="399" spans="19:19" x14ac:dyDescent="0.25">
      <c r="S399" s="36"/>
    </row>
    <row r="400" spans="19:19" x14ac:dyDescent="0.25">
      <c r="S400" s="36"/>
    </row>
    <row r="401" spans="19:19" x14ac:dyDescent="0.25">
      <c r="S401" s="36"/>
    </row>
    <row r="402" spans="19:19" x14ac:dyDescent="0.25">
      <c r="S402" s="36"/>
    </row>
    <row r="403" spans="19:19" x14ac:dyDescent="0.25">
      <c r="S403" s="36"/>
    </row>
    <row r="404" spans="19:19" x14ac:dyDescent="0.25">
      <c r="S404" s="36"/>
    </row>
    <row r="405" spans="19:19" x14ac:dyDescent="0.25">
      <c r="S405" s="36"/>
    </row>
    <row r="406" spans="19:19" x14ac:dyDescent="0.25">
      <c r="S406" s="36"/>
    </row>
    <row r="407" spans="19:19" x14ac:dyDescent="0.25">
      <c r="S407" s="36"/>
    </row>
    <row r="408" spans="19:19" x14ac:dyDescent="0.25">
      <c r="S408" s="36"/>
    </row>
    <row r="409" spans="19:19" x14ac:dyDescent="0.25">
      <c r="S409" s="36"/>
    </row>
    <row r="410" spans="19:19" x14ac:dyDescent="0.25">
      <c r="S410" s="36"/>
    </row>
    <row r="411" spans="19:19" x14ac:dyDescent="0.25">
      <c r="S411" s="36"/>
    </row>
    <row r="412" spans="19:19" x14ac:dyDescent="0.25">
      <c r="S412" s="36"/>
    </row>
    <row r="413" spans="19:19" x14ac:dyDescent="0.25">
      <c r="S413" s="36"/>
    </row>
    <row r="414" spans="19:19" x14ac:dyDescent="0.25">
      <c r="S414" s="36"/>
    </row>
    <row r="415" spans="19:19" x14ac:dyDescent="0.25">
      <c r="S415" s="36"/>
    </row>
    <row r="416" spans="19:19" x14ac:dyDescent="0.25">
      <c r="S416" s="36"/>
    </row>
    <row r="417" spans="19:19" x14ac:dyDescent="0.25">
      <c r="S417" s="36"/>
    </row>
    <row r="418" spans="19:19" x14ac:dyDescent="0.25">
      <c r="S418" s="36"/>
    </row>
    <row r="419" spans="19:19" x14ac:dyDescent="0.25">
      <c r="S419" s="36"/>
    </row>
    <row r="420" spans="19:19" x14ac:dyDescent="0.25">
      <c r="S420" s="36"/>
    </row>
    <row r="421" spans="19:19" x14ac:dyDescent="0.25">
      <c r="S421" s="36"/>
    </row>
    <row r="422" spans="19:19" x14ac:dyDescent="0.25">
      <c r="S422" s="36"/>
    </row>
    <row r="423" spans="19:19" x14ac:dyDescent="0.25">
      <c r="S423" s="36"/>
    </row>
    <row r="424" spans="19:19" x14ac:dyDescent="0.25">
      <c r="S424" s="36"/>
    </row>
    <row r="425" spans="19:19" x14ac:dyDescent="0.25">
      <c r="S425" s="36"/>
    </row>
    <row r="426" spans="19:19" x14ac:dyDescent="0.25">
      <c r="S426" s="36"/>
    </row>
    <row r="427" spans="19:19" x14ac:dyDescent="0.25">
      <c r="S427" s="36"/>
    </row>
    <row r="428" spans="19:19" x14ac:dyDescent="0.25">
      <c r="S428" s="36"/>
    </row>
    <row r="429" spans="19:19" x14ac:dyDescent="0.25">
      <c r="S429" s="36"/>
    </row>
    <row r="430" spans="19:19" x14ac:dyDescent="0.25">
      <c r="S430" s="36"/>
    </row>
    <row r="431" spans="19:19" x14ac:dyDescent="0.25">
      <c r="S431" s="36"/>
    </row>
    <row r="432" spans="19:19" x14ac:dyDescent="0.25">
      <c r="S432" s="36"/>
    </row>
    <row r="433" spans="19:19" x14ac:dyDescent="0.25">
      <c r="S433" s="36"/>
    </row>
    <row r="434" spans="19:19" x14ac:dyDescent="0.25">
      <c r="S434" s="36"/>
    </row>
    <row r="435" spans="19:19" x14ac:dyDescent="0.25">
      <c r="S435" s="36"/>
    </row>
    <row r="436" spans="19:19" x14ac:dyDescent="0.25">
      <c r="S436" s="36"/>
    </row>
    <row r="437" spans="19:19" x14ac:dyDescent="0.25">
      <c r="S437" s="36"/>
    </row>
    <row r="438" spans="19:19" x14ac:dyDescent="0.25">
      <c r="S438" s="36"/>
    </row>
    <row r="439" spans="19:19" x14ac:dyDescent="0.25">
      <c r="S439" s="36"/>
    </row>
    <row r="440" spans="19:19" x14ac:dyDescent="0.25">
      <c r="S440" s="36"/>
    </row>
    <row r="441" spans="19:19" x14ac:dyDescent="0.25">
      <c r="S441" s="36"/>
    </row>
    <row r="442" spans="19:19" x14ac:dyDescent="0.25">
      <c r="S442" s="36"/>
    </row>
    <row r="443" spans="19:19" x14ac:dyDescent="0.25">
      <c r="S443" s="36"/>
    </row>
    <row r="444" spans="19:19" x14ac:dyDescent="0.25">
      <c r="S444" s="36"/>
    </row>
    <row r="445" spans="19:19" x14ac:dyDescent="0.25">
      <c r="S445" s="36"/>
    </row>
    <row r="446" spans="19:19" x14ac:dyDescent="0.25">
      <c r="S446" s="36"/>
    </row>
    <row r="447" spans="19:19" x14ac:dyDescent="0.25">
      <c r="S447" s="36"/>
    </row>
    <row r="448" spans="19:19" x14ac:dyDescent="0.25">
      <c r="S448" s="36"/>
    </row>
    <row r="449" spans="19:19" x14ac:dyDescent="0.25">
      <c r="S449" s="36"/>
    </row>
    <row r="450" spans="19:19" x14ac:dyDescent="0.25">
      <c r="S450" s="36"/>
    </row>
    <row r="451" spans="19:19" x14ac:dyDescent="0.25">
      <c r="S451" s="36"/>
    </row>
    <row r="452" spans="19:19" x14ac:dyDescent="0.25">
      <c r="S452" s="36"/>
    </row>
    <row r="453" spans="19:19" x14ac:dyDescent="0.25">
      <c r="S453" s="36"/>
    </row>
    <row r="454" spans="19:19" x14ac:dyDescent="0.25">
      <c r="S454" s="36"/>
    </row>
    <row r="455" spans="19:19" x14ac:dyDescent="0.25">
      <c r="S455" s="36"/>
    </row>
    <row r="456" spans="19:19" x14ac:dyDescent="0.25">
      <c r="S456" s="36"/>
    </row>
    <row r="457" spans="19:19" x14ac:dyDescent="0.25">
      <c r="S457" s="36"/>
    </row>
    <row r="458" spans="19:19" x14ac:dyDescent="0.25">
      <c r="S458" s="36"/>
    </row>
    <row r="459" spans="19:19" x14ac:dyDescent="0.25">
      <c r="S459" s="36"/>
    </row>
    <row r="460" spans="19:19" x14ac:dyDescent="0.25">
      <c r="S460" s="36"/>
    </row>
    <row r="461" spans="19:19" x14ac:dyDescent="0.25">
      <c r="S461" s="36"/>
    </row>
    <row r="462" spans="19:19" x14ac:dyDescent="0.25">
      <c r="S462" s="36"/>
    </row>
    <row r="463" spans="19:19" x14ac:dyDescent="0.25">
      <c r="S463" s="36"/>
    </row>
    <row r="464" spans="19:19" x14ac:dyDescent="0.25">
      <c r="S464" s="36"/>
    </row>
    <row r="465" spans="19:19" x14ac:dyDescent="0.25">
      <c r="S465" s="36"/>
    </row>
    <row r="466" spans="19:19" x14ac:dyDescent="0.25">
      <c r="S466" s="36"/>
    </row>
    <row r="467" spans="19:19" x14ac:dyDescent="0.25">
      <c r="S467" s="36"/>
    </row>
    <row r="468" spans="19:19" x14ac:dyDescent="0.25">
      <c r="S468" s="36"/>
    </row>
    <row r="469" spans="19:19" x14ac:dyDescent="0.25">
      <c r="S469" s="36"/>
    </row>
    <row r="470" spans="19:19" x14ac:dyDescent="0.25">
      <c r="S470" s="36"/>
    </row>
    <row r="471" spans="19:19" x14ac:dyDescent="0.25">
      <c r="S471" s="36"/>
    </row>
    <row r="472" spans="19:19" x14ac:dyDescent="0.25">
      <c r="S472" s="36"/>
    </row>
    <row r="473" spans="19:19" x14ac:dyDescent="0.25">
      <c r="S473" s="36"/>
    </row>
    <row r="474" spans="19:19" x14ac:dyDescent="0.25">
      <c r="S474" s="36"/>
    </row>
    <row r="475" spans="19:19" x14ac:dyDescent="0.25">
      <c r="S475" s="36"/>
    </row>
    <row r="476" spans="19:19" x14ac:dyDescent="0.25">
      <c r="S476" s="36"/>
    </row>
    <row r="477" spans="19:19" x14ac:dyDescent="0.25">
      <c r="S477" s="36"/>
    </row>
    <row r="478" spans="19:19" x14ac:dyDescent="0.25">
      <c r="S478" s="36"/>
    </row>
    <row r="479" spans="19:19" x14ac:dyDescent="0.25">
      <c r="S479" s="36"/>
    </row>
    <row r="480" spans="19:19" x14ac:dyDescent="0.25">
      <c r="S480" s="36"/>
    </row>
    <row r="481" spans="19:19" x14ac:dyDescent="0.25">
      <c r="S481" s="36"/>
    </row>
    <row r="482" spans="19:19" x14ac:dyDescent="0.25">
      <c r="S482" s="36"/>
    </row>
    <row r="483" spans="19:19" x14ac:dyDescent="0.25">
      <c r="S483" s="36"/>
    </row>
    <row r="484" spans="19:19" x14ac:dyDescent="0.25">
      <c r="S484" s="36"/>
    </row>
    <row r="485" spans="19:19" x14ac:dyDescent="0.25">
      <c r="S485" s="36"/>
    </row>
    <row r="486" spans="19:19" x14ac:dyDescent="0.25">
      <c r="S486" s="36"/>
    </row>
    <row r="487" spans="19:19" x14ac:dyDescent="0.25">
      <c r="S487" s="36"/>
    </row>
    <row r="488" spans="19:19" x14ac:dyDescent="0.25">
      <c r="S488" s="36"/>
    </row>
    <row r="489" spans="19:19" x14ac:dyDescent="0.25">
      <c r="S489" s="36"/>
    </row>
    <row r="490" spans="19:19" x14ac:dyDescent="0.25">
      <c r="S490" s="36"/>
    </row>
    <row r="491" spans="19:19" x14ac:dyDescent="0.25">
      <c r="S491" s="36"/>
    </row>
    <row r="492" spans="19:19" x14ac:dyDescent="0.25">
      <c r="S492" s="36"/>
    </row>
    <row r="493" spans="19:19" x14ac:dyDescent="0.25">
      <c r="S493" s="36"/>
    </row>
    <row r="494" spans="19:19" x14ac:dyDescent="0.25">
      <c r="S494" s="36"/>
    </row>
    <row r="495" spans="19:19" x14ac:dyDescent="0.25">
      <c r="S495" s="36"/>
    </row>
    <row r="496" spans="19:19" x14ac:dyDescent="0.25">
      <c r="S496" s="36"/>
    </row>
    <row r="497" spans="19:19" x14ac:dyDescent="0.25">
      <c r="S497" s="36"/>
    </row>
    <row r="498" spans="19:19" x14ac:dyDescent="0.25">
      <c r="S498" s="36"/>
    </row>
    <row r="499" spans="19:19" x14ac:dyDescent="0.25">
      <c r="S499" s="36"/>
    </row>
    <row r="500" spans="19:19" x14ac:dyDescent="0.25">
      <c r="S500" s="36"/>
    </row>
    <row r="501" spans="19:19" x14ac:dyDescent="0.25">
      <c r="S501" s="36"/>
    </row>
    <row r="502" spans="19:19" x14ac:dyDescent="0.25">
      <c r="S502" s="36"/>
    </row>
    <row r="503" spans="19:19" x14ac:dyDescent="0.25">
      <c r="S503" s="36"/>
    </row>
    <row r="504" spans="19:19" x14ac:dyDescent="0.25">
      <c r="S504" s="36"/>
    </row>
    <row r="505" spans="19:19" x14ac:dyDescent="0.25">
      <c r="S505" s="36"/>
    </row>
    <row r="506" spans="19:19" x14ac:dyDescent="0.25">
      <c r="S506" s="36"/>
    </row>
    <row r="507" spans="19:19" x14ac:dyDescent="0.25">
      <c r="S507" s="36"/>
    </row>
    <row r="508" spans="19:19" x14ac:dyDescent="0.25">
      <c r="S508" s="36"/>
    </row>
    <row r="509" spans="19:19" x14ac:dyDescent="0.25">
      <c r="S509" s="36"/>
    </row>
    <row r="510" spans="19:19" x14ac:dyDescent="0.25">
      <c r="S510" s="36"/>
    </row>
    <row r="511" spans="19:19" x14ac:dyDescent="0.25">
      <c r="S511" s="36"/>
    </row>
    <row r="512" spans="19:19" x14ac:dyDescent="0.25">
      <c r="S512" s="36"/>
    </row>
    <row r="513" spans="19:19" x14ac:dyDescent="0.25">
      <c r="S513" s="36"/>
    </row>
    <row r="514" spans="19:19" x14ac:dyDescent="0.25">
      <c r="S514" s="36"/>
    </row>
    <row r="515" spans="19:19" x14ac:dyDescent="0.25">
      <c r="S515" s="36"/>
    </row>
    <row r="516" spans="19:19" x14ac:dyDescent="0.25">
      <c r="S516" s="36"/>
    </row>
    <row r="517" spans="19:19" x14ac:dyDescent="0.25">
      <c r="S517" s="36"/>
    </row>
    <row r="518" spans="19:19" x14ac:dyDescent="0.25">
      <c r="S518" s="36"/>
    </row>
    <row r="519" spans="19:19" x14ac:dyDescent="0.25">
      <c r="S519" s="36"/>
    </row>
    <row r="520" spans="19:19" x14ac:dyDescent="0.25">
      <c r="S520" s="36"/>
    </row>
    <row r="521" spans="19:19" x14ac:dyDescent="0.25">
      <c r="S521" s="36"/>
    </row>
    <row r="522" spans="19:19" x14ac:dyDescent="0.25">
      <c r="S522" s="36"/>
    </row>
    <row r="523" spans="19:19" x14ac:dyDescent="0.25">
      <c r="S523" s="36"/>
    </row>
    <row r="524" spans="19:19" x14ac:dyDescent="0.25">
      <c r="S524" s="36"/>
    </row>
    <row r="525" spans="19:19" x14ac:dyDescent="0.25">
      <c r="S525" s="36"/>
    </row>
    <row r="526" spans="19:19" x14ac:dyDescent="0.25">
      <c r="S526" s="36"/>
    </row>
    <row r="527" spans="19:19" x14ac:dyDescent="0.25">
      <c r="S527" s="36"/>
    </row>
    <row r="528" spans="19:19" x14ac:dyDescent="0.25">
      <c r="S528" s="36"/>
    </row>
    <row r="529" spans="19:19" x14ac:dyDescent="0.25">
      <c r="S529" s="36"/>
    </row>
    <row r="530" spans="19:19" x14ac:dyDescent="0.25">
      <c r="S530" s="36"/>
    </row>
    <row r="531" spans="19:19" x14ac:dyDescent="0.25">
      <c r="S531" s="36"/>
    </row>
    <row r="532" spans="19:19" x14ac:dyDescent="0.25">
      <c r="S532" s="36"/>
    </row>
    <row r="533" spans="19:19" x14ac:dyDescent="0.25">
      <c r="S533" s="36"/>
    </row>
    <row r="534" spans="19:19" x14ac:dyDescent="0.25">
      <c r="S534" s="36"/>
    </row>
    <row r="535" spans="19:19" x14ac:dyDescent="0.25">
      <c r="S535" s="36"/>
    </row>
    <row r="536" spans="19:19" x14ac:dyDescent="0.25">
      <c r="S536" s="36"/>
    </row>
    <row r="537" spans="19:19" x14ac:dyDescent="0.25">
      <c r="S537" s="36"/>
    </row>
    <row r="538" spans="19:19" x14ac:dyDescent="0.25">
      <c r="S538" s="36"/>
    </row>
    <row r="539" spans="19:19" x14ac:dyDescent="0.25">
      <c r="S539" s="36"/>
    </row>
    <row r="540" spans="19:19" x14ac:dyDescent="0.25">
      <c r="S540" s="36"/>
    </row>
    <row r="541" spans="19:19" x14ac:dyDescent="0.25">
      <c r="S541" s="36"/>
    </row>
    <row r="542" spans="19:19" x14ac:dyDescent="0.25">
      <c r="S542" s="36"/>
    </row>
    <row r="543" spans="19:19" x14ac:dyDescent="0.25">
      <c r="S543" s="36"/>
    </row>
    <row r="544" spans="19:19" x14ac:dyDescent="0.25">
      <c r="S544" s="36"/>
    </row>
    <row r="545" spans="19:19" x14ac:dyDescent="0.25">
      <c r="S545" s="36"/>
    </row>
    <row r="546" spans="19:19" x14ac:dyDescent="0.25">
      <c r="S546" s="36"/>
    </row>
    <row r="547" spans="19:19" x14ac:dyDescent="0.25">
      <c r="S547" s="36"/>
    </row>
    <row r="548" spans="19:19" x14ac:dyDescent="0.25">
      <c r="S548" s="36"/>
    </row>
    <row r="549" spans="19:19" x14ac:dyDescent="0.25">
      <c r="S549" s="36"/>
    </row>
    <row r="550" spans="19:19" x14ac:dyDescent="0.25">
      <c r="S550" s="36"/>
    </row>
    <row r="551" spans="19:19" x14ac:dyDescent="0.25">
      <c r="S551" s="36"/>
    </row>
    <row r="552" spans="19:19" x14ac:dyDescent="0.25">
      <c r="S552" s="36"/>
    </row>
    <row r="553" spans="19:19" x14ac:dyDescent="0.25">
      <c r="S553" s="36"/>
    </row>
    <row r="554" spans="19:19" x14ac:dyDescent="0.25">
      <c r="S554" s="36"/>
    </row>
    <row r="555" spans="19:19" x14ac:dyDescent="0.25">
      <c r="S555" s="36"/>
    </row>
    <row r="556" spans="19:19" x14ac:dyDescent="0.25">
      <c r="S556" s="36"/>
    </row>
    <row r="557" spans="19:19" x14ac:dyDescent="0.25">
      <c r="S557" s="36"/>
    </row>
    <row r="558" spans="19:19" x14ac:dyDescent="0.25">
      <c r="S558" s="36"/>
    </row>
    <row r="559" spans="19:19" x14ac:dyDescent="0.25">
      <c r="S559" s="36"/>
    </row>
    <row r="560" spans="19:19" x14ac:dyDescent="0.25">
      <c r="S560" s="36"/>
    </row>
    <row r="561" spans="19:19" x14ac:dyDescent="0.25">
      <c r="S561" s="36"/>
    </row>
    <row r="562" spans="19:19" x14ac:dyDescent="0.25">
      <c r="S562" s="36"/>
    </row>
    <row r="563" spans="19:19" x14ac:dyDescent="0.25">
      <c r="S563" s="36"/>
    </row>
    <row r="564" spans="19:19" x14ac:dyDescent="0.25">
      <c r="S564" s="36"/>
    </row>
    <row r="565" spans="19:19" x14ac:dyDescent="0.25">
      <c r="S565" s="36"/>
    </row>
    <row r="566" spans="19:19" x14ac:dyDescent="0.25">
      <c r="S566" s="36"/>
    </row>
    <row r="567" spans="19:19" x14ac:dyDescent="0.25">
      <c r="S567" s="36"/>
    </row>
    <row r="568" spans="19:19" x14ac:dyDescent="0.25">
      <c r="S568" s="36"/>
    </row>
    <row r="569" spans="19:19" x14ac:dyDescent="0.25">
      <c r="S569" s="36"/>
    </row>
    <row r="570" spans="19:19" x14ac:dyDescent="0.25">
      <c r="S570" s="36"/>
    </row>
    <row r="571" spans="19:19" x14ac:dyDescent="0.25">
      <c r="S571" s="36"/>
    </row>
    <row r="572" spans="19:19" x14ac:dyDescent="0.25">
      <c r="S572" s="36"/>
    </row>
  </sheetData>
  <sheetProtection algorithmName="SHA-512" hashValue="M7020xrG3QIQa2xMTK2HcCgM3Sqaf1QRLJDAVi6TyZjCM0R+ElYyhDRVJh07GZFsR4pz3nnkmhFDMpeAEeEZEQ==" saltValue="StF/C+PgNlbKigHxbxJLbA==" spinCount="100000" sheet="1" objects="1" scenarios="1"/>
  <dataConsolidate/>
  <mergeCells count="19">
    <mergeCell ref="AU3:AU4"/>
    <mergeCell ref="E4:E5"/>
    <mergeCell ref="T3:T4"/>
    <mergeCell ref="U3:U4"/>
    <mergeCell ref="AR3:AS3"/>
    <mergeCell ref="AN3:AP3"/>
    <mergeCell ref="V3:Y3"/>
    <mergeCell ref="AA3:AE3"/>
    <mergeCell ref="AK3:AM3"/>
    <mergeCell ref="L3:L4"/>
    <mergeCell ref="M3:M4"/>
    <mergeCell ref="F3:H3"/>
    <mergeCell ref="F4:H4"/>
    <mergeCell ref="F5:H5"/>
    <mergeCell ref="T1:U2"/>
    <mergeCell ref="L1:M2"/>
    <mergeCell ref="B4:C4"/>
    <mergeCell ref="F7:I7"/>
    <mergeCell ref="B6:C6"/>
  </mergeCells>
  <conditionalFormatting sqref="AA7:AE126 AI7:AP126 AR7:AS126">
    <cfRule type="expression" dxfId="23" priority="39">
      <formula>MOD(ROW(),2)=0</formula>
    </cfRule>
  </conditionalFormatting>
  <conditionalFormatting sqref="B26:C26">
    <cfRule type="expression" dxfId="22" priority="36">
      <formula>IF($C$26&gt;DATE(2021,12,31),1,0)</formula>
    </cfRule>
  </conditionalFormatting>
  <conditionalFormatting sqref="B28:C28">
    <cfRule type="expression" dxfId="21" priority="26">
      <formula>IF($C$28&gt;EDATE($C$26,120),1,0)</formula>
    </cfRule>
  </conditionalFormatting>
  <conditionalFormatting sqref="F4:I4">
    <cfRule type="expression" dxfId="20" priority="22">
      <formula>IF($I$4=0,1,0)</formula>
    </cfRule>
  </conditionalFormatting>
  <conditionalFormatting sqref="B37:C37">
    <cfRule type="expression" dxfId="19" priority="20">
      <formula>IF($C$36="Közép_Magyarország",0,1)</formula>
    </cfRule>
  </conditionalFormatting>
  <conditionalFormatting sqref="B34:C37 B44:C60 F12:H20">
    <cfRule type="expression" dxfId="18" priority="5">
      <formula>IF($C$32="Nem",1,0)</formula>
    </cfRule>
  </conditionalFormatting>
  <conditionalFormatting sqref="B57:C60">
    <cfRule type="expression" dxfId="17" priority="245">
      <formula>IF($C$34="GBER 14, 17-es jogcímek",1,0)</formula>
    </cfRule>
  </conditionalFormatting>
  <conditionalFormatting sqref="B36:C37 B52:C55 F18:H20">
    <cfRule type="expression" dxfId="16" priority="9">
      <formula>IF($C$34="ABER, HALÁSZAT, Egyéb GBER jogcímek",1,0)</formula>
    </cfRule>
  </conditionalFormatting>
  <conditionalFormatting sqref="G10">
    <cfRule type="expression" dxfId="15" priority="248">
      <formula>IF($C$22="Egyéb",1,0)</formula>
    </cfRule>
    <cfRule type="expression" dxfId="14" priority="249">
      <formula>IF($I$4&gt;$G$10,1,0)</formula>
    </cfRule>
  </conditionalFormatting>
  <conditionalFormatting sqref="H10">
    <cfRule type="expression" dxfId="13" priority="250">
      <formula>IF($C$22="Mezőgazdasági",1,0)</formula>
    </cfRule>
  </conditionalFormatting>
  <conditionalFormatting sqref="I10">
    <cfRule type="expression" dxfId="12" priority="251">
      <formula>IF($C$22="Halászati",1,0)</formula>
    </cfRule>
  </conditionalFormatting>
  <conditionalFormatting sqref="B24:C24">
    <cfRule type="expression" dxfId="11" priority="260">
      <formula>IF(OR(AND($C$9="HUF",$C$24&gt;3500000000),AND($C$9="EUR",$C$24&gt;10000000)),1,0)</formula>
    </cfRule>
  </conditionalFormatting>
  <conditionalFormatting sqref="B48:C48">
    <cfRule type="expression" dxfId="10" priority="8">
      <formula>IF($C$48&gt;200000,1,0)</formula>
    </cfRule>
  </conditionalFormatting>
  <conditionalFormatting sqref="B49:C49">
    <cfRule type="expression" dxfId="9" priority="7">
      <formula>IF($C$49&gt;15000,1,0)</formula>
    </cfRule>
  </conditionalFormatting>
  <conditionalFormatting sqref="B50:C50">
    <cfRule type="expression" dxfId="8" priority="6">
      <formula>IF($C$50&gt;30000,1,0)</formula>
    </cfRule>
  </conditionalFormatting>
  <conditionalFormatting sqref="B36:C37 B52:C60 F18:H20 F12:G16">
    <cfRule type="expression" dxfId="7" priority="2">
      <formula>IF($C$34="Nem kapcsolódik",1,0)</formula>
    </cfRule>
  </conditionalFormatting>
  <conditionalFormatting sqref="L1">
    <cfRule type="expression" dxfId="6" priority="277">
      <formula>IF(AND(COUNT(M7:M126)&gt;0,SUM(M7:M126)&lt;&gt;$C$24),1,0)</formula>
    </cfRule>
  </conditionalFormatting>
  <conditionalFormatting sqref="T1">
    <cfRule type="expression" dxfId="5" priority="278">
      <formula>IF(AND(COUNT(U7:U126)&gt;0,SUM(U7:U126)&lt;&gt;$C$24),1,0)</formula>
    </cfRule>
  </conditionalFormatting>
  <conditionalFormatting sqref="T3:U126">
    <cfRule type="expression" dxfId="4" priority="279">
      <formula>$C$30="Egyenlő tőke"</formula>
    </cfRule>
  </conditionalFormatting>
  <conditionalFormatting sqref="B23:C23">
    <cfRule type="expression" dxfId="3" priority="280">
      <formula>IF($C$23&lt;$C$24,1,0)</formula>
    </cfRule>
  </conditionalFormatting>
  <conditionalFormatting sqref="G20:H20">
    <cfRule type="expression" dxfId="2" priority="283">
      <formula>IF($G$16&gt;G$20,1,0)</formula>
    </cfRule>
  </conditionalFormatting>
  <dataValidations count="16">
    <dataValidation type="list" allowBlank="1" showInputMessage="1" showErrorMessage="1" sqref="C30">
      <formula1>IF($C$20="Lízing",Törlesztés_lízing,Törlesztés)</formula1>
    </dataValidation>
    <dataValidation type="list" allowBlank="1" showInputMessage="1" showErrorMessage="1" sqref="C31">
      <formula1>Törlesztésgyakoriság</formula1>
    </dataValidation>
    <dataValidation showInputMessage="1" showErrorMessage="1" sqref="C29"/>
    <dataValidation type="list" allowBlank="1" showInputMessage="1" showErrorMessage="1" sqref="D7:D8">
      <formula1>#REF!</formula1>
    </dataValidation>
    <dataValidation type="list" allowBlank="1" showInputMessage="1" showErrorMessage="1" sqref="C22">
      <formula1>"Mezőgazdasági,Halászati,Egyéb"</formula1>
    </dataValidation>
    <dataValidation type="list" allowBlank="1" showInputMessage="1" showErrorMessage="1" sqref="C9">
      <formula1>"HUF,EUR"</formula1>
    </dataValidation>
    <dataValidation type="list" allowBlank="1" showInputMessage="1" showErrorMessage="1" sqref="C15">
      <formula1>"Magas,Általános,Alacsony"</formula1>
    </dataValidation>
    <dataValidation type="list" allowBlank="1" showInputMessage="1" showErrorMessage="1" sqref="C14">
      <formula1>"Kiváló,Jó,Kielégítő,Gyenge,Rossz"</formula1>
    </dataValidation>
    <dataValidation type="list" allowBlank="1" showInputMessage="1" showErrorMessage="1" sqref="C12">
      <formula1>"Van,Nincs"</formula1>
    </dataValidation>
    <dataValidation type="list" allowBlank="1" showInputMessage="1" showErrorMessage="1" sqref="C37">
      <formula1>INDIRECT($C$36)</formula1>
    </dataValidation>
    <dataValidation type="list" allowBlank="1" showInputMessage="1" showErrorMessage="1" sqref="C36">
      <formula1>Helyszín</formula1>
    </dataValidation>
    <dataValidation type="list" allowBlank="1" showInputMessage="1" showErrorMessage="1" sqref="C34">
      <mc:AlternateContent xmlns:x12ac="http://schemas.microsoft.com/office/spreadsheetml/2011/1/ac" xmlns:mc="http://schemas.openxmlformats.org/markup-compatibility/2006">
        <mc:Choice Requires="x12ac">
          <x12ac:list>"GBER 14, 17-es jogcímek","ABER, HALÁSZAT, Egyéb GBER jogcímek",Nem kapcsolódik</x12ac:list>
        </mc:Choice>
        <mc:Fallback>
          <formula1>"GBER 14, 17-es jogcímek,ABER, HALÁSZAT, Egyéb GBER jogcímek,Nem kapcsolódik"</formula1>
        </mc:Fallback>
      </mc:AlternateContent>
    </dataValidation>
    <dataValidation type="list" allowBlank="1" showInputMessage="1" showErrorMessage="1" sqref="C58">
      <formula1>"ABER,HALÁSZATI,EGYÉB GBER"</formula1>
    </dataValidation>
    <dataValidation type="list" allowBlank="1" showInputMessage="1" showErrorMessage="1" sqref="C32">
      <formula1>"Igen,Nem"</formula1>
    </dataValidation>
    <dataValidation type="list" allowBlank="1" showInputMessage="1" showErrorMessage="1" sqref="C21">
      <formula1>"Mikró/Kis,Közepes"</formula1>
    </dataValidation>
    <dataValidation type="date" allowBlank="1" showInputMessage="1" showErrorMessage="1" sqref="L7:L126">
      <formula1>$C$26</formula1>
      <formula2>$C$27</formula2>
    </dataValidation>
  </dataValidations>
  <hyperlinks>
    <hyperlink ref="B11" r:id="rId1" display="Referencia alapkamat"/>
  </hyperlinks>
  <pageMargins left="0.7" right="0.7" top="0.75" bottom="0.75" header="0.3" footer="0.3"/>
  <pageSetup paperSize="9" orientation="portrait" r:id="rId2"/>
  <ignoredErrors>
    <ignoredError sqref="AN5" 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25"/>
  <sheetViews>
    <sheetView workbookViewId="0">
      <selection activeCell="B21" sqref="B21"/>
    </sheetView>
  </sheetViews>
  <sheetFormatPr defaultRowHeight="15" x14ac:dyDescent="0.25"/>
  <cols>
    <col min="1" max="1" width="25.28515625" customWidth="1"/>
    <col min="2" max="2" width="17.28515625" customWidth="1"/>
    <col min="3" max="3" width="14.42578125" customWidth="1"/>
    <col min="4" max="4" width="16.140625" customWidth="1"/>
    <col min="5" max="5" width="16.140625" style="34" customWidth="1"/>
    <col min="6" max="6" width="18" customWidth="1"/>
    <col min="8" max="8" width="10.5703125" bestFit="1" customWidth="1"/>
  </cols>
  <sheetData>
    <row r="1" spans="1:12" x14ac:dyDescent="0.25">
      <c r="A1" s="177" t="s">
        <v>237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2" x14ac:dyDescent="0.25">
      <c r="D2" s="34" t="s">
        <v>330</v>
      </c>
      <c r="E2" s="34" t="s">
        <v>288</v>
      </c>
      <c r="F2" t="s">
        <v>239</v>
      </c>
    </row>
    <row r="3" spans="1:12" x14ac:dyDescent="0.25">
      <c r="A3" s="188" t="s">
        <v>238</v>
      </c>
      <c r="B3" s="188"/>
      <c r="D3" s="34" t="str">
        <f>Tamogatastartalom!C21</f>
        <v>Mikró/Kis</v>
      </c>
      <c r="E3" s="89"/>
      <c r="F3" s="6"/>
    </row>
    <row r="4" spans="1:12" x14ac:dyDescent="0.25">
      <c r="A4" s="48">
        <f>PRODUCT(C4:W4)</f>
        <v>1</v>
      </c>
      <c r="B4" t="s">
        <v>285</v>
      </c>
      <c r="E4" s="50"/>
      <c r="F4" s="50"/>
      <c r="H4">
        <v>1</v>
      </c>
    </row>
    <row r="5" spans="1:12" x14ac:dyDescent="0.25">
      <c r="A5" s="48">
        <f>PRODUCT(E5:F5)</f>
        <v>0</v>
      </c>
      <c r="B5" t="s">
        <v>286</v>
      </c>
      <c r="E5" s="34">
        <f>IF(Tamogatastartalom!C22="Mezőgazdasági",1,0)</f>
        <v>0</v>
      </c>
      <c r="F5" s="50"/>
      <c r="H5">
        <v>1</v>
      </c>
    </row>
    <row r="6" spans="1:12" x14ac:dyDescent="0.25">
      <c r="A6" s="48">
        <f>PRODUCT(E6:F6)</f>
        <v>0</v>
      </c>
      <c r="B6" t="s">
        <v>287</v>
      </c>
      <c r="E6" s="50"/>
      <c r="F6" s="34">
        <f>IF(Tamogatastartalom!C22="Halászati",1,0)</f>
        <v>0</v>
      </c>
      <c r="H6">
        <v>1</v>
      </c>
    </row>
    <row r="7" spans="1:12" x14ac:dyDescent="0.25">
      <c r="A7" s="177" t="s">
        <v>122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2" x14ac:dyDescent="0.25">
      <c r="A8" s="189" t="s">
        <v>240</v>
      </c>
      <c r="B8" s="189"/>
      <c r="C8" s="189"/>
      <c r="D8" s="189"/>
      <c r="E8" s="189"/>
      <c r="F8" s="189"/>
      <c r="G8" s="189"/>
      <c r="H8" s="189"/>
      <c r="I8" s="189"/>
      <c r="J8" s="189"/>
    </row>
    <row r="9" spans="1:12" ht="15" customHeight="1" x14ac:dyDescent="0.25">
      <c r="A9" s="54" t="s">
        <v>242</v>
      </c>
      <c r="B9" s="139">
        <f>Tamogatastartalom!C23/IF(Tamogatastartalom!C9&lt;&gt;"EUR",arfolyam,1)</f>
        <v>388888.88888888888</v>
      </c>
      <c r="C9" s="55"/>
    </row>
    <row r="10" spans="1:12" x14ac:dyDescent="0.25">
      <c r="A10" s="56" t="s">
        <v>118</v>
      </c>
      <c r="B10" s="140">
        <f>IF((B9-C10)&gt;0,C10,B9)</f>
        <v>388888.88888888888</v>
      </c>
      <c r="C10" s="45">
        <v>50000000</v>
      </c>
      <c r="I10" s="63"/>
      <c r="L10" s="63"/>
    </row>
    <row r="11" spans="1:12" x14ac:dyDescent="0.25">
      <c r="A11" s="56" t="s">
        <v>119</v>
      </c>
      <c r="B11" s="141">
        <f>IF(B10&lt;C10,0,IF(B9-C11&lt;0,B9-C10,C10))</f>
        <v>0</v>
      </c>
      <c r="C11" s="45">
        <v>100000000</v>
      </c>
      <c r="I11" s="63"/>
      <c r="L11" s="63"/>
    </row>
    <row r="12" spans="1:12" s="34" customFormat="1" x14ac:dyDescent="0.25">
      <c r="A12" s="38" t="s">
        <v>120</v>
      </c>
      <c r="B12" t="s">
        <v>121</v>
      </c>
      <c r="C12" s="45"/>
      <c r="I12" s="63"/>
      <c r="L12" s="63"/>
    </row>
    <row r="13" spans="1:12" s="34" customFormat="1" x14ac:dyDescent="0.25">
      <c r="A13" s="38" t="s">
        <v>257</v>
      </c>
      <c r="B13" s="89">
        <f>IF(D3="Mikró/Kis",0.2,IF(D3="Közepes",0.1,0))*IF(B9&lt;50*10^6,1,0)</f>
        <v>0.2</v>
      </c>
      <c r="C13" s="45"/>
      <c r="I13" s="63"/>
      <c r="L13" s="63"/>
    </row>
    <row r="14" spans="1:12" s="34" customFormat="1" x14ac:dyDescent="0.25">
      <c r="A14" s="38" t="s">
        <v>255</v>
      </c>
      <c r="B14" s="34">
        <f>IF(B15&gt;0,1,0)</f>
        <v>1</v>
      </c>
      <c r="C14" s="45"/>
    </row>
    <row r="15" spans="1:12" s="34" customFormat="1" x14ac:dyDescent="0.25">
      <c r="A15" s="38" t="s">
        <v>256</v>
      </c>
      <c r="B15" s="89">
        <f>VLOOKUP(Tamogatastartalom!C36,Adatok!A21:B216,2,FALSE)+IF(Tamogatastartalom!C36="Közép_Magyarország",VLOOKUP(Tamogatastartalom!C37,Adatok!A21:'Adatok'!B216,2,FALSE))</f>
        <v>0.35</v>
      </c>
      <c r="C15" s="45"/>
    </row>
    <row r="16" spans="1:12" ht="30" x14ac:dyDescent="0.25">
      <c r="A16" s="54" t="s">
        <v>244</v>
      </c>
      <c r="B16" s="89">
        <f>(B15+B13)*B14</f>
        <v>0.55000000000000004</v>
      </c>
    </row>
    <row r="17" spans="1:10" s="34" customFormat="1" x14ac:dyDescent="0.25">
      <c r="A17" s="54" t="s">
        <v>258</v>
      </c>
      <c r="B17" s="45">
        <f>VLOOKUP(B15,Adatok!D12:E16,2,FALSE)*10^6</f>
        <v>26250000</v>
      </c>
    </row>
    <row r="18" spans="1:10" x14ac:dyDescent="0.25">
      <c r="A18" s="177" t="s">
        <v>247</v>
      </c>
      <c r="B18" s="177"/>
      <c r="C18" s="177"/>
      <c r="D18" s="177"/>
      <c r="E18" s="177"/>
      <c r="F18" s="177"/>
      <c r="G18" s="177"/>
      <c r="H18" s="177"/>
      <c r="I18" s="177"/>
      <c r="J18" s="177"/>
    </row>
    <row r="19" spans="1:10" x14ac:dyDescent="0.25">
      <c r="A19" t="s">
        <v>248</v>
      </c>
      <c r="B19">
        <f>IF(D3="Nagy",0,IF(D3="Mikró/Kis",0.2,0.1))</f>
        <v>0.2</v>
      </c>
    </row>
    <row r="20" spans="1:10" x14ac:dyDescent="0.25">
      <c r="A20" s="177" t="s">
        <v>245</v>
      </c>
      <c r="B20" s="177"/>
      <c r="C20" s="177"/>
      <c r="D20" s="177"/>
      <c r="E20" s="177"/>
      <c r="F20" s="177"/>
      <c r="G20" s="177"/>
      <c r="H20" s="177"/>
      <c r="I20" s="177"/>
      <c r="J20" s="177"/>
    </row>
    <row r="21" spans="1:10" x14ac:dyDescent="0.25">
      <c r="A21" t="s">
        <v>246</v>
      </c>
      <c r="B21" s="89">
        <f>IF(Tamogatastartalom!C9="EUR",Tamogatastartalom!C23*arfolyam,Tamogatastartalom!C23)</f>
        <v>140000000</v>
      </c>
    </row>
    <row r="22" spans="1:10" x14ac:dyDescent="0.25">
      <c r="A22" s="177" t="s">
        <v>249</v>
      </c>
      <c r="B22" s="177"/>
      <c r="C22" s="177"/>
      <c r="D22" s="177"/>
      <c r="E22" s="177"/>
      <c r="F22" s="177"/>
      <c r="G22" s="177"/>
      <c r="H22" s="177"/>
      <c r="I22" s="177"/>
      <c r="J22" s="177"/>
    </row>
    <row r="23" spans="1:10" x14ac:dyDescent="0.25">
      <c r="A23" t="s">
        <v>243</v>
      </c>
      <c r="B23" s="9">
        <f>Tamogatastartalom!C24</f>
        <v>100000000</v>
      </c>
    </row>
    <row r="24" spans="1:10" ht="30" x14ac:dyDescent="0.25">
      <c r="A24" s="54" t="s">
        <v>250</v>
      </c>
      <c r="B24" s="9">
        <f ca="1">Tamogatastartalom!AR5</f>
        <v>60281181.818181939</v>
      </c>
    </row>
    <row r="25" spans="1:10" ht="30" x14ac:dyDescent="0.25">
      <c r="A25" s="54" t="s">
        <v>251</v>
      </c>
      <c r="B25">
        <f ca="1">B23/B24</f>
        <v>1.6588924932098481</v>
      </c>
    </row>
  </sheetData>
  <mergeCells count="7">
    <mergeCell ref="A20:J20"/>
    <mergeCell ref="A18:J18"/>
    <mergeCell ref="A22:J22"/>
    <mergeCell ref="A1:J1"/>
    <mergeCell ref="A3:B3"/>
    <mergeCell ref="A7:J7"/>
    <mergeCell ref="A8:J8"/>
  </mergeCells>
  <conditionalFormatting sqref="F6">
    <cfRule type="cellIs" dxfId="1" priority="9" operator="equal">
      <formula>0</formula>
    </cfRule>
  </conditionalFormatting>
  <conditionalFormatting sqref="E5"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216"/>
  <sheetViews>
    <sheetView workbookViewId="0">
      <selection activeCell="M7" sqref="M7"/>
    </sheetView>
  </sheetViews>
  <sheetFormatPr defaultRowHeight="15" x14ac:dyDescent="0.25"/>
  <cols>
    <col min="1" max="1" width="19.7109375" bestFit="1" customWidth="1"/>
    <col min="3" max="3" width="11.28515625" customWidth="1"/>
    <col min="6" max="6" width="13.5703125" customWidth="1"/>
    <col min="9" max="11" width="9.140625" style="34"/>
    <col min="13" max="13" width="14.42578125" style="51" bestFit="1" customWidth="1"/>
    <col min="16" max="16" width="19.5703125" bestFit="1" customWidth="1"/>
  </cols>
  <sheetData>
    <row r="1" spans="1:23" x14ac:dyDescent="0.25">
      <c r="A1" s="194" t="s">
        <v>234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0" t="s">
        <v>241</v>
      </c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x14ac:dyDescent="0.25">
      <c r="C2" s="1"/>
      <c r="D2" s="189" t="s">
        <v>235</v>
      </c>
      <c r="E2" s="189"/>
      <c r="F2" s="189"/>
      <c r="G2" s="189"/>
      <c r="H2" s="189"/>
      <c r="I2" s="1"/>
      <c r="J2" s="189" t="s">
        <v>261</v>
      </c>
      <c r="K2" s="189"/>
      <c r="L2" s="195"/>
      <c r="M2" s="51" t="s">
        <v>15</v>
      </c>
      <c r="N2" s="34"/>
      <c r="O2" s="34"/>
      <c r="P2" s="48" t="s">
        <v>18</v>
      </c>
      <c r="Q2" s="48"/>
      <c r="S2" t="s">
        <v>32</v>
      </c>
      <c r="T2" s="34"/>
      <c r="U2" t="s">
        <v>32</v>
      </c>
    </row>
    <row r="3" spans="1:23" x14ac:dyDescent="0.25">
      <c r="C3" s="1"/>
      <c r="D3" s="4"/>
      <c r="E3" s="4"/>
      <c r="F3" s="193" t="s">
        <v>7</v>
      </c>
      <c r="G3" s="193"/>
      <c r="H3" s="193"/>
      <c r="I3" s="1"/>
      <c r="J3" s="65"/>
      <c r="K3" s="65"/>
      <c r="L3" s="65"/>
      <c r="M3" s="51" t="s">
        <v>22</v>
      </c>
      <c r="N3" s="34">
        <v>1</v>
      </c>
      <c r="O3" s="34"/>
      <c r="P3" s="34" t="s">
        <v>19</v>
      </c>
      <c r="Q3" s="34">
        <v>12</v>
      </c>
      <c r="S3" t="s">
        <v>30</v>
      </c>
      <c r="T3" s="34"/>
      <c r="U3" t="s">
        <v>30</v>
      </c>
    </row>
    <row r="4" spans="1:23" x14ac:dyDescent="0.25">
      <c r="C4" s="1"/>
      <c r="D4" s="4"/>
      <c r="E4" s="5"/>
      <c r="F4" s="3" t="s">
        <v>0</v>
      </c>
      <c r="G4" s="3" t="s">
        <v>1</v>
      </c>
      <c r="H4" s="3" t="s">
        <v>2</v>
      </c>
      <c r="I4" s="1"/>
      <c r="J4" s="66" t="s">
        <v>262</v>
      </c>
      <c r="K4" s="67">
        <f>refkam-3.5%</f>
        <v>-1.0500000000000002E-2</v>
      </c>
      <c r="M4" s="51" t="s">
        <v>16</v>
      </c>
      <c r="N4" s="34">
        <v>2</v>
      </c>
      <c r="O4" s="34"/>
      <c r="P4" s="34" t="s">
        <v>20</v>
      </c>
      <c r="Q4" s="34">
        <v>4</v>
      </c>
      <c r="S4" t="s">
        <v>253</v>
      </c>
      <c r="T4" s="34"/>
      <c r="U4" t="s">
        <v>283</v>
      </c>
    </row>
    <row r="5" spans="1:23" ht="15.75" customHeight="1" x14ac:dyDescent="0.25">
      <c r="C5" s="1"/>
      <c r="D5" s="192" t="s">
        <v>8</v>
      </c>
      <c r="E5" s="58" t="s">
        <v>254</v>
      </c>
      <c r="F5" s="7">
        <v>60</v>
      </c>
      <c r="G5" s="7">
        <v>75</v>
      </c>
      <c r="H5" s="7">
        <v>100</v>
      </c>
      <c r="I5" s="1"/>
      <c r="J5" s="66" t="s">
        <v>263</v>
      </c>
      <c r="K5" s="68">
        <v>1E-3</v>
      </c>
      <c r="M5" s="51" t="s">
        <v>17</v>
      </c>
      <c r="N5" s="34">
        <v>0</v>
      </c>
      <c r="O5" s="34"/>
      <c r="P5" s="34" t="s">
        <v>21</v>
      </c>
      <c r="Q5" s="34">
        <v>2</v>
      </c>
      <c r="S5" t="s">
        <v>283</v>
      </c>
      <c r="T5" s="34"/>
    </row>
    <row r="6" spans="1:23" x14ac:dyDescent="0.25">
      <c r="A6" s="34"/>
      <c r="B6" s="34"/>
      <c r="C6" s="1"/>
      <c r="D6" s="192"/>
      <c r="E6" s="2" t="s">
        <v>3</v>
      </c>
      <c r="F6" s="7">
        <v>75</v>
      </c>
      <c r="G6" s="7">
        <v>100</v>
      </c>
      <c r="H6" s="7">
        <v>220</v>
      </c>
      <c r="I6" s="1"/>
      <c r="J6" s="66" t="s">
        <v>264</v>
      </c>
      <c r="K6" s="68">
        <f>MAX(K4:K5)</f>
        <v>1E-3</v>
      </c>
      <c r="M6"/>
      <c r="N6" s="34"/>
      <c r="O6" s="34"/>
      <c r="P6" s="34"/>
      <c r="Q6" s="34"/>
      <c r="T6" s="34"/>
    </row>
    <row r="7" spans="1:23" ht="15" customHeight="1" x14ac:dyDescent="0.25">
      <c r="A7" s="34"/>
      <c r="B7" s="34"/>
      <c r="C7" s="1"/>
      <c r="D7" s="192"/>
      <c r="E7" s="2" t="s">
        <v>4</v>
      </c>
      <c r="F7" s="7">
        <v>100</v>
      </c>
      <c r="G7" s="7">
        <v>220</v>
      </c>
      <c r="H7" s="7">
        <v>400</v>
      </c>
      <c r="I7" s="1"/>
      <c r="J7" s="65" t="s">
        <v>265</v>
      </c>
      <c r="K7" s="68">
        <f>refkammin+4%</f>
        <v>4.1000000000000002E-2</v>
      </c>
      <c r="M7" t="s">
        <v>311</v>
      </c>
      <c r="T7" s="34"/>
    </row>
    <row r="8" spans="1:23" x14ac:dyDescent="0.25">
      <c r="A8" s="34"/>
      <c r="B8" s="34"/>
      <c r="C8" s="1"/>
      <c r="D8" s="192"/>
      <c r="E8" s="2" t="s">
        <v>5</v>
      </c>
      <c r="F8" s="7">
        <v>220</v>
      </c>
      <c r="G8" s="7">
        <v>400</v>
      </c>
      <c r="H8" s="7">
        <v>650</v>
      </c>
      <c r="I8" s="1"/>
      <c r="J8" s="65"/>
      <c r="K8" s="7"/>
      <c r="M8" s="52"/>
      <c r="N8" s="34"/>
      <c r="O8" s="39"/>
      <c r="P8" s="38"/>
    </row>
    <row r="9" spans="1:23" ht="15" customHeight="1" x14ac:dyDescent="0.25">
      <c r="A9" s="34"/>
      <c r="B9" s="34"/>
      <c r="C9" s="1"/>
      <c r="D9" s="192"/>
      <c r="E9" s="2" t="s">
        <v>6</v>
      </c>
      <c r="F9" s="7">
        <v>400</v>
      </c>
      <c r="G9" s="7">
        <v>650</v>
      </c>
      <c r="H9" s="7">
        <v>1000</v>
      </c>
      <c r="I9" s="1"/>
      <c r="J9" s="65"/>
      <c r="K9" s="7"/>
      <c r="M9" s="53"/>
      <c r="N9" s="34"/>
      <c r="O9" s="4"/>
      <c r="P9" s="34"/>
    </row>
    <row r="10" spans="1:23" x14ac:dyDescent="0.25">
      <c r="A10" s="177" t="s">
        <v>236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53"/>
      <c r="N10" s="34"/>
      <c r="O10" s="4"/>
      <c r="P10" s="4"/>
    </row>
    <row r="11" spans="1:23" x14ac:dyDescent="0.25">
      <c r="B11" s="49" t="s">
        <v>24</v>
      </c>
      <c r="D11" s="1" t="s">
        <v>259</v>
      </c>
      <c r="E11" s="1" t="s">
        <v>260</v>
      </c>
      <c r="F11" s="1"/>
      <c r="G11" s="1"/>
      <c r="H11" s="34"/>
      <c r="L11" s="34"/>
      <c r="M11" s="53"/>
      <c r="N11" s="34"/>
      <c r="O11" s="4"/>
      <c r="P11" s="4"/>
    </row>
    <row r="12" spans="1:23" x14ac:dyDescent="0.25">
      <c r="A12" s="49" t="s">
        <v>32</v>
      </c>
      <c r="B12" s="39">
        <v>0</v>
      </c>
      <c r="D12" s="64">
        <v>0.5</v>
      </c>
      <c r="E12" s="63">
        <v>37.5</v>
      </c>
      <c r="H12" s="34"/>
      <c r="L12" s="34"/>
      <c r="M12" s="53"/>
      <c r="N12" s="34"/>
      <c r="O12" s="4"/>
      <c r="P12" s="4"/>
    </row>
    <row r="13" spans="1:23" x14ac:dyDescent="0.25">
      <c r="A13" s="49" t="s">
        <v>29</v>
      </c>
      <c r="B13" s="39">
        <v>0.5</v>
      </c>
      <c r="D13" s="64">
        <v>0.35</v>
      </c>
      <c r="E13" s="63">
        <v>26.25</v>
      </c>
      <c r="H13" s="34"/>
      <c r="L13" s="34"/>
      <c r="M13" s="53"/>
      <c r="N13" s="34"/>
      <c r="O13" s="4"/>
      <c r="P13" s="4"/>
    </row>
    <row r="14" spans="1:23" x14ac:dyDescent="0.25">
      <c r="A14" s="49" t="s">
        <v>28</v>
      </c>
      <c r="B14" s="39">
        <v>0.5</v>
      </c>
      <c r="D14" s="64">
        <v>0.25</v>
      </c>
      <c r="E14" s="63">
        <v>18.75</v>
      </c>
      <c r="M14" s="53"/>
      <c r="N14" s="34"/>
      <c r="O14" s="4"/>
      <c r="P14" s="4"/>
    </row>
    <row r="15" spans="1:23" x14ac:dyDescent="0.25">
      <c r="A15" s="49" t="s">
        <v>27</v>
      </c>
      <c r="B15" s="39">
        <v>0.5</v>
      </c>
      <c r="D15" s="64">
        <v>0.2</v>
      </c>
      <c r="E15" s="63">
        <v>15</v>
      </c>
      <c r="M15" s="53"/>
      <c r="N15" s="34"/>
      <c r="O15" s="4"/>
      <c r="P15" s="4"/>
    </row>
    <row r="16" spans="1:23" x14ac:dyDescent="0.25">
      <c r="A16" s="49" t="s">
        <v>26</v>
      </c>
      <c r="B16" s="39">
        <v>0.5</v>
      </c>
      <c r="D16" s="64">
        <v>0</v>
      </c>
      <c r="E16" s="63">
        <v>0</v>
      </c>
      <c r="M16" s="53"/>
      <c r="N16" s="34"/>
      <c r="O16" s="4"/>
      <c r="P16" s="4"/>
    </row>
    <row r="17" spans="1:21" x14ac:dyDescent="0.25">
      <c r="A17" s="49" t="s">
        <v>25</v>
      </c>
      <c r="B17" s="39">
        <v>0.35</v>
      </c>
      <c r="J17" s="34" t="s">
        <v>266</v>
      </c>
      <c r="M17" s="53"/>
      <c r="N17" s="34"/>
      <c r="O17" s="4"/>
      <c r="P17" s="4"/>
    </row>
    <row r="18" spans="1:21" x14ac:dyDescent="0.25">
      <c r="A18" s="49" t="s">
        <v>115</v>
      </c>
      <c r="B18" s="39">
        <v>0</v>
      </c>
      <c r="M18" s="53"/>
      <c r="N18" s="34"/>
      <c r="O18" s="4"/>
      <c r="P18" s="4"/>
    </row>
    <row r="19" spans="1:21" x14ac:dyDescent="0.25">
      <c r="A19" s="49" t="s">
        <v>23</v>
      </c>
      <c r="B19" s="39">
        <v>0.25</v>
      </c>
      <c r="M19" s="53"/>
      <c r="N19" s="34"/>
      <c r="O19" s="4"/>
      <c r="P19" s="4"/>
    </row>
    <row r="20" spans="1:21" x14ac:dyDescent="0.25">
      <c r="B20" s="49" t="s">
        <v>122</v>
      </c>
      <c r="M20" s="53"/>
      <c r="N20" s="34"/>
      <c r="O20" s="4"/>
      <c r="P20" s="4"/>
    </row>
    <row r="21" spans="1:21" x14ac:dyDescent="0.25">
      <c r="A21" s="1" t="s">
        <v>32</v>
      </c>
      <c r="B21">
        <v>0</v>
      </c>
      <c r="M21" s="53"/>
      <c r="N21" s="34"/>
      <c r="O21" s="4"/>
      <c r="P21" s="4"/>
      <c r="U21" s="34"/>
    </row>
    <row r="22" spans="1:21" x14ac:dyDescent="0.25">
      <c r="A22" s="1" t="s">
        <v>31</v>
      </c>
      <c r="B22">
        <v>0</v>
      </c>
      <c r="M22" s="53"/>
      <c r="N22" s="4"/>
      <c r="O22" s="34"/>
      <c r="P22" s="4"/>
      <c r="U22" s="34"/>
    </row>
    <row r="23" spans="1:21" x14ac:dyDescent="0.25">
      <c r="A23" s="1" t="s">
        <v>33</v>
      </c>
      <c r="B23">
        <v>0.35</v>
      </c>
      <c r="M23" s="53"/>
      <c r="N23" s="4"/>
      <c r="O23" s="34"/>
      <c r="P23" s="4"/>
      <c r="U23" s="34"/>
    </row>
    <row r="24" spans="1:21" x14ac:dyDescent="0.25">
      <c r="A24" s="1" t="s">
        <v>127</v>
      </c>
      <c r="B24">
        <v>0</v>
      </c>
      <c r="M24" s="53"/>
      <c r="N24" s="4"/>
      <c r="O24" s="34"/>
      <c r="P24" s="4"/>
      <c r="U24" s="34"/>
    </row>
    <row r="25" spans="1:21" x14ac:dyDescent="0.25">
      <c r="A25" s="1" t="s">
        <v>128</v>
      </c>
      <c r="B25">
        <v>0</v>
      </c>
      <c r="M25" s="53"/>
      <c r="N25" s="4"/>
      <c r="O25" s="34"/>
      <c r="P25" s="4"/>
    </row>
    <row r="26" spans="1:21" x14ac:dyDescent="0.25">
      <c r="A26" s="1" t="s">
        <v>39</v>
      </c>
      <c r="B26">
        <v>0.35</v>
      </c>
      <c r="M26" s="53"/>
      <c r="N26" s="4"/>
      <c r="O26" s="34"/>
      <c r="P26" s="4"/>
    </row>
    <row r="27" spans="1:21" x14ac:dyDescent="0.25">
      <c r="A27" s="1" t="s">
        <v>129</v>
      </c>
      <c r="B27">
        <v>0</v>
      </c>
      <c r="M27" s="53"/>
      <c r="N27" s="4"/>
      <c r="O27" s="34"/>
      <c r="P27" s="4"/>
    </row>
    <row r="28" spans="1:21" x14ac:dyDescent="0.25">
      <c r="A28" s="1" t="s">
        <v>108</v>
      </c>
      <c r="B28">
        <v>0.35</v>
      </c>
      <c r="M28" s="53"/>
      <c r="N28" s="4"/>
      <c r="O28" s="34"/>
      <c r="P28" s="4"/>
    </row>
    <row r="29" spans="1:21" x14ac:dyDescent="0.25">
      <c r="A29" s="1" t="s">
        <v>109</v>
      </c>
      <c r="B29">
        <v>0.35</v>
      </c>
      <c r="M29" s="53"/>
      <c r="N29" s="4"/>
      <c r="O29" s="34"/>
      <c r="P29" s="4"/>
    </row>
    <row r="30" spans="1:21" x14ac:dyDescent="0.25">
      <c r="A30" s="1" t="s">
        <v>110</v>
      </c>
      <c r="B30">
        <v>0.35</v>
      </c>
      <c r="M30" s="53"/>
      <c r="N30" s="4"/>
      <c r="O30" s="34"/>
      <c r="P30" s="4"/>
    </row>
    <row r="31" spans="1:21" x14ac:dyDescent="0.25">
      <c r="A31" s="1" t="s">
        <v>130</v>
      </c>
      <c r="B31">
        <v>0</v>
      </c>
      <c r="M31" s="53"/>
      <c r="N31" s="40"/>
      <c r="O31" s="34"/>
      <c r="P31" s="4"/>
    </row>
    <row r="32" spans="1:21" x14ac:dyDescent="0.25">
      <c r="A32" s="1" t="s">
        <v>40</v>
      </c>
      <c r="B32">
        <v>0.35</v>
      </c>
      <c r="M32" s="53"/>
      <c r="N32" s="40"/>
      <c r="O32" s="34"/>
      <c r="P32" s="4"/>
    </row>
    <row r="33" spans="1:16" x14ac:dyDescent="0.25">
      <c r="A33" s="1" t="s">
        <v>131</v>
      </c>
      <c r="B33">
        <v>0</v>
      </c>
      <c r="M33" s="53"/>
      <c r="N33" s="40"/>
      <c r="O33" s="34"/>
      <c r="P33" s="4"/>
    </row>
    <row r="34" spans="1:16" x14ac:dyDescent="0.25">
      <c r="A34" s="1" t="s">
        <v>132</v>
      </c>
      <c r="B34">
        <v>0</v>
      </c>
      <c r="M34" s="53"/>
      <c r="N34" s="40"/>
      <c r="O34" s="34"/>
      <c r="P34" s="4"/>
    </row>
    <row r="35" spans="1:16" x14ac:dyDescent="0.25">
      <c r="A35" s="1" t="s">
        <v>133</v>
      </c>
      <c r="B35">
        <v>0</v>
      </c>
      <c r="M35" s="53"/>
      <c r="N35" s="40"/>
      <c r="O35" s="34"/>
      <c r="P35" s="4"/>
    </row>
    <row r="36" spans="1:16" x14ac:dyDescent="0.25">
      <c r="A36" s="1" t="s">
        <v>134</v>
      </c>
      <c r="B36">
        <v>0</v>
      </c>
      <c r="M36" s="53"/>
      <c r="N36" s="40"/>
      <c r="O36" s="34"/>
      <c r="P36" s="4"/>
    </row>
    <row r="37" spans="1:16" x14ac:dyDescent="0.25">
      <c r="A37" s="1" t="s">
        <v>135</v>
      </c>
      <c r="B37">
        <v>0</v>
      </c>
      <c r="M37" s="53"/>
      <c r="N37" s="40"/>
      <c r="O37" s="34"/>
      <c r="P37" s="4"/>
    </row>
    <row r="38" spans="1:16" x14ac:dyDescent="0.25">
      <c r="A38" s="1" t="s">
        <v>31</v>
      </c>
      <c r="B38">
        <v>0</v>
      </c>
      <c r="M38" s="53"/>
      <c r="N38" s="40"/>
      <c r="O38" s="34"/>
      <c r="P38" s="4"/>
    </row>
    <row r="39" spans="1:16" x14ac:dyDescent="0.25">
      <c r="A39" s="1" t="s">
        <v>136</v>
      </c>
      <c r="B39">
        <v>0</v>
      </c>
      <c r="M39" s="53"/>
      <c r="N39" s="40"/>
      <c r="O39" s="34"/>
      <c r="P39" s="4"/>
    </row>
    <row r="40" spans="1:16" x14ac:dyDescent="0.25">
      <c r="A40" s="1" t="s">
        <v>284</v>
      </c>
      <c r="B40">
        <v>0.35</v>
      </c>
      <c r="M40" s="53"/>
      <c r="N40" s="40"/>
      <c r="O40" s="34"/>
      <c r="P40" s="4"/>
    </row>
    <row r="41" spans="1:16" x14ac:dyDescent="0.25">
      <c r="A41" s="1" t="s">
        <v>137</v>
      </c>
      <c r="B41">
        <v>0</v>
      </c>
      <c r="M41" s="53"/>
      <c r="N41" s="40"/>
      <c r="O41" s="34"/>
      <c r="P41" s="4"/>
    </row>
    <row r="42" spans="1:16" x14ac:dyDescent="0.25">
      <c r="A42" s="1" t="s">
        <v>41</v>
      </c>
      <c r="B42">
        <v>0.35</v>
      </c>
      <c r="M42" s="53"/>
      <c r="N42" s="40"/>
      <c r="O42" s="34"/>
      <c r="P42" s="4"/>
    </row>
    <row r="43" spans="1:16" x14ac:dyDescent="0.25">
      <c r="A43" s="1" t="s">
        <v>138</v>
      </c>
      <c r="B43">
        <v>0</v>
      </c>
      <c r="M43" s="53"/>
      <c r="N43" s="40"/>
      <c r="O43" s="34"/>
      <c r="P43" s="4"/>
    </row>
    <row r="44" spans="1:16" x14ac:dyDescent="0.25">
      <c r="A44" s="1" t="s">
        <v>139</v>
      </c>
      <c r="B44">
        <v>0</v>
      </c>
      <c r="M44" s="53"/>
      <c r="N44" s="40"/>
      <c r="O44" s="34"/>
      <c r="P44" s="4"/>
    </row>
    <row r="45" spans="1:16" x14ac:dyDescent="0.25">
      <c r="A45" s="1" t="s">
        <v>140</v>
      </c>
      <c r="B45">
        <v>0</v>
      </c>
      <c r="M45" s="53"/>
      <c r="N45" s="40"/>
      <c r="O45" s="34"/>
      <c r="P45" s="4"/>
    </row>
    <row r="46" spans="1:16" x14ac:dyDescent="0.25">
      <c r="A46" s="1" t="s">
        <v>141</v>
      </c>
      <c r="B46">
        <v>0</v>
      </c>
    </row>
    <row r="47" spans="1:16" x14ac:dyDescent="0.25">
      <c r="A47" s="1" t="s">
        <v>142</v>
      </c>
      <c r="B47">
        <v>0</v>
      </c>
    </row>
    <row r="48" spans="1:16" x14ac:dyDescent="0.25">
      <c r="A48" s="1" t="s">
        <v>143</v>
      </c>
      <c r="B48">
        <v>0</v>
      </c>
    </row>
    <row r="49" spans="1:2" x14ac:dyDescent="0.25">
      <c r="A49" s="1" t="s">
        <v>42</v>
      </c>
      <c r="B49">
        <v>0.35</v>
      </c>
    </row>
    <row r="50" spans="1:2" x14ac:dyDescent="0.25">
      <c r="A50" s="1" t="s">
        <v>144</v>
      </c>
      <c r="B50">
        <v>0</v>
      </c>
    </row>
    <row r="51" spans="1:2" x14ac:dyDescent="0.25">
      <c r="A51" s="1" t="s">
        <v>145</v>
      </c>
      <c r="B51">
        <v>0</v>
      </c>
    </row>
    <row r="52" spans="1:2" x14ac:dyDescent="0.25">
      <c r="A52" s="1" t="s">
        <v>146</v>
      </c>
      <c r="B52">
        <v>0</v>
      </c>
    </row>
    <row r="53" spans="1:2" x14ac:dyDescent="0.25">
      <c r="A53" s="1" t="s">
        <v>147</v>
      </c>
      <c r="B53">
        <v>0</v>
      </c>
    </row>
    <row r="54" spans="1:2" x14ac:dyDescent="0.25">
      <c r="A54" s="1" t="s">
        <v>43</v>
      </c>
      <c r="B54">
        <v>0.35</v>
      </c>
    </row>
    <row r="55" spans="1:2" x14ac:dyDescent="0.25">
      <c r="A55" s="1" t="s">
        <v>148</v>
      </c>
      <c r="B55">
        <v>0</v>
      </c>
    </row>
    <row r="56" spans="1:2" x14ac:dyDescent="0.25">
      <c r="A56" s="1" t="s">
        <v>149</v>
      </c>
      <c r="B56">
        <v>0</v>
      </c>
    </row>
    <row r="57" spans="1:2" x14ac:dyDescent="0.25">
      <c r="A57" s="1" t="s">
        <v>44</v>
      </c>
      <c r="B57">
        <v>0.35</v>
      </c>
    </row>
    <row r="58" spans="1:2" x14ac:dyDescent="0.25">
      <c r="A58" s="1" t="s">
        <v>150</v>
      </c>
      <c r="B58">
        <v>0</v>
      </c>
    </row>
    <row r="59" spans="1:2" x14ac:dyDescent="0.25">
      <c r="A59" s="1" t="s">
        <v>151</v>
      </c>
      <c r="B59">
        <v>0</v>
      </c>
    </row>
    <row r="60" spans="1:2" x14ac:dyDescent="0.25">
      <c r="A60" s="1" t="s">
        <v>45</v>
      </c>
      <c r="B60">
        <v>0.35</v>
      </c>
    </row>
    <row r="61" spans="1:2" x14ac:dyDescent="0.25">
      <c r="A61" s="1" t="s">
        <v>46</v>
      </c>
      <c r="B61">
        <v>0.35</v>
      </c>
    </row>
    <row r="62" spans="1:2" x14ac:dyDescent="0.25">
      <c r="A62" s="1" t="s">
        <v>152</v>
      </c>
      <c r="B62">
        <v>0</v>
      </c>
    </row>
    <row r="63" spans="1:2" x14ac:dyDescent="0.25">
      <c r="A63" s="1" t="s">
        <v>47</v>
      </c>
      <c r="B63">
        <v>0.35</v>
      </c>
    </row>
    <row r="64" spans="1:2" x14ac:dyDescent="0.25">
      <c r="A64" s="1" t="s">
        <v>48</v>
      </c>
      <c r="B64">
        <v>0.35</v>
      </c>
    </row>
    <row r="65" spans="1:2" x14ac:dyDescent="0.25">
      <c r="A65" s="1" t="s">
        <v>153</v>
      </c>
      <c r="B65">
        <v>0</v>
      </c>
    </row>
    <row r="66" spans="1:2" x14ac:dyDescent="0.25">
      <c r="A66" s="1" t="s">
        <v>154</v>
      </c>
      <c r="B66">
        <v>0</v>
      </c>
    </row>
    <row r="67" spans="1:2" x14ac:dyDescent="0.25">
      <c r="A67" s="1" t="s">
        <v>155</v>
      </c>
      <c r="B67">
        <v>0</v>
      </c>
    </row>
    <row r="68" spans="1:2" x14ac:dyDescent="0.25">
      <c r="A68" s="1" t="s">
        <v>156</v>
      </c>
      <c r="B68">
        <v>0</v>
      </c>
    </row>
    <row r="69" spans="1:2" x14ac:dyDescent="0.25">
      <c r="A69" s="1" t="s">
        <v>157</v>
      </c>
      <c r="B69">
        <v>0</v>
      </c>
    </row>
    <row r="70" spans="1:2" x14ac:dyDescent="0.25">
      <c r="A70" s="1" t="s">
        <v>158</v>
      </c>
      <c r="B70">
        <v>0.35</v>
      </c>
    </row>
    <row r="71" spans="1:2" x14ac:dyDescent="0.25">
      <c r="A71" s="1" t="s">
        <v>49</v>
      </c>
      <c r="B71">
        <v>0.35</v>
      </c>
    </row>
    <row r="72" spans="1:2" x14ac:dyDescent="0.25">
      <c r="A72" s="1" t="s">
        <v>50</v>
      </c>
      <c r="B72">
        <v>0.35</v>
      </c>
    </row>
    <row r="73" spans="1:2" x14ac:dyDescent="0.25">
      <c r="A73" s="1" t="s">
        <v>159</v>
      </c>
      <c r="B73">
        <v>0</v>
      </c>
    </row>
    <row r="74" spans="1:2" x14ac:dyDescent="0.25">
      <c r="A74" s="1" t="s">
        <v>51</v>
      </c>
      <c r="B74">
        <v>0.35</v>
      </c>
    </row>
    <row r="75" spans="1:2" x14ac:dyDescent="0.25">
      <c r="A75" s="1" t="s">
        <v>160</v>
      </c>
      <c r="B75">
        <v>0</v>
      </c>
    </row>
    <row r="76" spans="1:2" x14ac:dyDescent="0.25">
      <c r="A76" s="1" t="s">
        <v>161</v>
      </c>
      <c r="B76">
        <v>0</v>
      </c>
    </row>
    <row r="77" spans="1:2" x14ac:dyDescent="0.25">
      <c r="A77" s="1" t="s">
        <v>162</v>
      </c>
      <c r="B77">
        <v>0</v>
      </c>
    </row>
    <row r="78" spans="1:2" x14ac:dyDescent="0.25">
      <c r="A78" s="1" t="s">
        <v>52</v>
      </c>
      <c r="B78">
        <v>0.35</v>
      </c>
    </row>
    <row r="79" spans="1:2" x14ac:dyDescent="0.25">
      <c r="A79" s="1" t="s">
        <v>163</v>
      </c>
      <c r="B79">
        <v>0</v>
      </c>
    </row>
    <row r="80" spans="1:2" x14ac:dyDescent="0.25">
      <c r="A80" s="1" t="s">
        <v>53</v>
      </c>
      <c r="B80">
        <v>0.35</v>
      </c>
    </row>
    <row r="81" spans="1:2" x14ac:dyDescent="0.25">
      <c r="A81" s="1" t="s">
        <v>54</v>
      </c>
      <c r="B81">
        <v>0.35</v>
      </c>
    </row>
    <row r="82" spans="1:2" x14ac:dyDescent="0.25">
      <c r="A82" s="1" t="s">
        <v>164</v>
      </c>
      <c r="B82">
        <v>0</v>
      </c>
    </row>
    <row r="83" spans="1:2" x14ac:dyDescent="0.25">
      <c r="A83" s="1" t="s">
        <v>55</v>
      </c>
      <c r="B83">
        <v>0.35</v>
      </c>
    </row>
    <row r="84" spans="1:2" x14ac:dyDescent="0.25">
      <c r="A84" s="1" t="s">
        <v>165</v>
      </c>
      <c r="B84">
        <v>0</v>
      </c>
    </row>
    <row r="85" spans="1:2" x14ac:dyDescent="0.25">
      <c r="A85" s="1" t="s">
        <v>56</v>
      </c>
      <c r="B85">
        <v>0.35</v>
      </c>
    </row>
    <row r="86" spans="1:2" x14ac:dyDescent="0.25">
      <c r="A86" s="1" t="s">
        <v>166</v>
      </c>
      <c r="B86">
        <v>0</v>
      </c>
    </row>
    <row r="87" spans="1:2" x14ac:dyDescent="0.25">
      <c r="A87" s="1" t="s">
        <v>57</v>
      </c>
      <c r="B87">
        <v>0.35</v>
      </c>
    </row>
    <row r="88" spans="1:2" x14ac:dyDescent="0.25">
      <c r="A88" s="1" t="s">
        <v>167</v>
      </c>
      <c r="B88">
        <v>0</v>
      </c>
    </row>
    <row r="89" spans="1:2" x14ac:dyDescent="0.25">
      <c r="A89" s="1" t="s">
        <v>58</v>
      </c>
      <c r="B89">
        <v>0.35</v>
      </c>
    </row>
    <row r="90" spans="1:2" x14ac:dyDescent="0.25">
      <c r="A90" s="1" t="s">
        <v>168</v>
      </c>
      <c r="B90">
        <v>0</v>
      </c>
    </row>
    <row r="91" spans="1:2" x14ac:dyDescent="0.25">
      <c r="A91" s="1" t="s">
        <v>59</v>
      </c>
      <c r="B91">
        <v>0.35</v>
      </c>
    </row>
    <row r="92" spans="1:2" x14ac:dyDescent="0.25">
      <c r="A92" s="1" t="s">
        <v>169</v>
      </c>
      <c r="B92">
        <v>0</v>
      </c>
    </row>
    <row r="93" spans="1:2" x14ac:dyDescent="0.25">
      <c r="A93" s="1" t="s">
        <v>170</v>
      </c>
      <c r="B93">
        <v>0</v>
      </c>
    </row>
    <row r="94" spans="1:2" x14ac:dyDescent="0.25">
      <c r="A94" s="1" t="s">
        <v>60</v>
      </c>
      <c r="B94">
        <v>0.35</v>
      </c>
    </row>
    <row r="95" spans="1:2" x14ac:dyDescent="0.25">
      <c r="A95" s="1" t="s">
        <v>171</v>
      </c>
      <c r="B95">
        <v>0</v>
      </c>
    </row>
    <row r="96" spans="1:2" x14ac:dyDescent="0.25">
      <c r="A96" s="1" t="s">
        <v>172</v>
      </c>
      <c r="B96">
        <v>0</v>
      </c>
    </row>
    <row r="97" spans="1:2" x14ac:dyDescent="0.25">
      <c r="A97" s="1" t="s">
        <v>61</v>
      </c>
      <c r="B97">
        <v>0.35</v>
      </c>
    </row>
    <row r="98" spans="1:2" x14ac:dyDescent="0.25">
      <c r="A98" s="1" t="s">
        <v>173</v>
      </c>
      <c r="B98">
        <v>0</v>
      </c>
    </row>
    <row r="99" spans="1:2" x14ac:dyDescent="0.25">
      <c r="A99" s="1" t="s">
        <v>174</v>
      </c>
      <c r="B99">
        <v>0</v>
      </c>
    </row>
    <row r="100" spans="1:2" x14ac:dyDescent="0.25">
      <c r="A100" s="1" t="s">
        <v>62</v>
      </c>
      <c r="B100">
        <v>0.35</v>
      </c>
    </row>
    <row r="101" spans="1:2" x14ac:dyDescent="0.25">
      <c r="A101" s="1" t="s">
        <v>63</v>
      </c>
      <c r="B101">
        <v>0.35</v>
      </c>
    </row>
    <row r="102" spans="1:2" x14ac:dyDescent="0.25">
      <c r="A102" s="1" t="s">
        <v>64</v>
      </c>
      <c r="B102">
        <v>0.35</v>
      </c>
    </row>
    <row r="103" spans="1:2" x14ac:dyDescent="0.25">
      <c r="A103" s="1" t="s">
        <v>175</v>
      </c>
      <c r="B103">
        <v>0</v>
      </c>
    </row>
    <row r="104" spans="1:2" x14ac:dyDescent="0.25">
      <c r="A104" s="1" t="s">
        <v>65</v>
      </c>
      <c r="B104">
        <v>0.35</v>
      </c>
    </row>
    <row r="105" spans="1:2" x14ac:dyDescent="0.25">
      <c r="A105" s="1" t="s">
        <v>66</v>
      </c>
      <c r="B105">
        <v>0.35</v>
      </c>
    </row>
    <row r="106" spans="1:2" x14ac:dyDescent="0.25">
      <c r="A106" s="1" t="s">
        <v>176</v>
      </c>
      <c r="B106">
        <v>0</v>
      </c>
    </row>
    <row r="107" spans="1:2" x14ac:dyDescent="0.25">
      <c r="A107" s="1" t="s">
        <v>67</v>
      </c>
      <c r="B107">
        <v>0.35</v>
      </c>
    </row>
    <row r="108" spans="1:2" x14ac:dyDescent="0.25">
      <c r="A108" s="1" t="s">
        <v>177</v>
      </c>
      <c r="B108">
        <v>0</v>
      </c>
    </row>
    <row r="109" spans="1:2" x14ac:dyDescent="0.25">
      <c r="A109" s="1" t="s">
        <v>68</v>
      </c>
      <c r="B109">
        <v>0.35</v>
      </c>
    </row>
    <row r="110" spans="1:2" x14ac:dyDescent="0.25">
      <c r="A110" s="1" t="s">
        <v>69</v>
      </c>
      <c r="B110">
        <v>0.35</v>
      </c>
    </row>
    <row r="111" spans="1:2" x14ac:dyDescent="0.25">
      <c r="A111" s="1" t="s">
        <v>70</v>
      </c>
      <c r="B111">
        <v>0.35</v>
      </c>
    </row>
    <row r="112" spans="1:2" x14ac:dyDescent="0.25">
      <c r="A112" s="1" t="s">
        <v>178</v>
      </c>
      <c r="B112">
        <v>0</v>
      </c>
    </row>
    <row r="113" spans="1:2" x14ac:dyDescent="0.25">
      <c r="A113" s="1" t="s">
        <v>71</v>
      </c>
      <c r="B113">
        <v>0.35</v>
      </c>
    </row>
    <row r="114" spans="1:2" x14ac:dyDescent="0.25">
      <c r="A114" s="1" t="s">
        <v>179</v>
      </c>
      <c r="B114">
        <v>0</v>
      </c>
    </row>
    <row r="115" spans="1:2" x14ac:dyDescent="0.25">
      <c r="A115" s="1" t="s">
        <v>72</v>
      </c>
      <c r="B115">
        <v>0.35</v>
      </c>
    </row>
    <row r="116" spans="1:2" x14ac:dyDescent="0.25">
      <c r="A116" s="1" t="s">
        <v>180</v>
      </c>
      <c r="B116">
        <v>0</v>
      </c>
    </row>
    <row r="117" spans="1:2" x14ac:dyDescent="0.25">
      <c r="A117" s="1" t="s">
        <v>73</v>
      </c>
      <c r="B117">
        <v>0.35</v>
      </c>
    </row>
    <row r="118" spans="1:2" x14ac:dyDescent="0.25">
      <c r="A118" s="1" t="s">
        <v>74</v>
      </c>
      <c r="B118">
        <v>0.35</v>
      </c>
    </row>
    <row r="119" spans="1:2" x14ac:dyDescent="0.25">
      <c r="A119" s="1" t="s">
        <v>181</v>
      </c>
      <c r="B119">
        <v>0</v>
      </c>
    </row>
    <row r="120" spans="1:2" x14ac:dyDescent="0.25">
      <c r="A120" s="1" t="s">
        <v>75</v>
      </c>
      <c r="B120">
        <v>0.35</v>
      </c>
    </row>
    <row r="121" spans="1:2" x14ac:dyDescent="0.25">
      <c r="A121" s="1" t="s">
        <v>182</v>
      </c>
      <c r="B121">
        <v>0</v>
      </c>
    </row>
    <row r="122" spans="1:2" x14ac:dyDescent="0.25">
      <c r="A122" s="1" t="s">
        <v>183</v>
      </c>
      <c r="B122">
        <v>0</v>
      </c>
    </row>
    <row r="123" spans="1:2" x14ac:dyDescent="0.25">
      <c r="A123" s="1" t="s">
        <v>76</v>
      </c>
      <c r="B123">
        <v>0.35</v>
      </c>
    </row>
    <row r="124" spans="1:2" x14ac:dyDescent="0.25">
      <c r="A124" s="1" t="s">
        <v>184</v>
      </c>
      <c r="B124">
        <v>0</v>
      </c>
    </row>
    <row r="125" spans="1:2" x14ac:dyDescent="0.25">
      <c r="A125" s="1" t="s">
        <v>185</v>
      </c>
      <c r="B125">
        <v>0</v>
      </c>
    </row>
    <row r="126" spans="1:2" x14ac:dyDescent="0.25">
      <c r="A126" s="1" t="s">
        <v>77</v>
      </c>
      <c r="B126">
        <v>0.35</v>
      </c>
    </row>
    <row r="127" spans="1:2" x14ac:dyDescent="0.25">
      <c r="A127" s="1" t="s">
        <v>78</v>
      </c>
      <c r="B127">
        <v>0.35</v>
      </c>
    </row>
    <row r="128" spans="1:2" x14ac:dyDescent="0.25">
      <c r="A128" s="1" t="s">
        <v>186</v>
      </c>
      <c r="B128">
        <v>0</v>
      </c>
    </row>
    <row r="129" spans="1:2" x14ac:dyDescent="0.25">
      <c r="A129" s="1" t="s">
        <v>187</v>
      </c>
      <c r="B129">
        <v>0</v>
      </c>
    </row>
    <row r="130" spans="1:2" x14ac:dyDescent="0.25">
      <c r="A130" s="1" t="s">
        <v>111</v>
      </c>
      <c r="B130">
        <v>0.2</v>
      </c>
    </row>
    <row r="131" spans="1:2" x14ac:dyDescent="0.25">
      <c r="A131" s="1" t="s">
        <v>112</v>
      </c>
      <c r="B131">
        <v>0.2</v>
      </c>
    </row>
    <row r="132" spans="1:2" x14ac:dyDescent="0.25">
      <c r="A132" s="1" t="s">
        <v>188</v>
      </c>
      <c r="B132">
        <v>0</v>
      </c>
    </row>
    <row r="133" spans="1:2" x14ac:dyDescent="0.25">
      <c r="A133" s="1" t="s">
        <v>189</v>
      </c>
      <c r="B133">
        <v>0</v>
      </c>
    </row>
    <row r="134" spans="1:2" x14ac:dyDescent="0.25">
      <c r="A134" s="1" t="s">
        <v>190</v>
      </c>
      <c r="B134">
        <v>0</v>
      </c>
    </row>
    <row r="135" spans="1:2" x14ac:dyDescent="0.25">
      <c r="A135" s="1" t="s">
        <v>191</v>
      </c>
      <c r="B135">
        <v>0</v>
      </c>
    </row>
    <row r="136" spans="1:2" x14ac:dyDescent="0.25">
      <c r="A136" s="1" t="s">
        <v>113</v>
      </c>
      <c r="B136" s="34">
        <v>0</v>
      </c>
    </row>
    <row r="137" spans="1:2" x14ac:dyDescent="0.25">
      <c r="A137" s="1" t="s">
        <v>192</v>
      </c>
      <c r="B137">
        <v>0</v>
      </c>
    </row>
    <row r="138" spans="1:2" x14ac:dyDescent="0.25">
      <c r="A138" s="1" t="s">
        <v>193</v>
      </c>
      <c r="B138">
        <v>0</v>
      </c>
    </row>
    <row r="139" spans="1:2" x14ac:dyDescent="0.25">
      <c r="A139" s="1" t="s">
        <v>194</v>
      </c>
      <c r="B139">
        <v>0</v>
      </c>
    </row>
    <row r="140" spans="1:2" x14ac:dyDescent="0.25">
      <c r="A140" s="1" t="s">
        <v>195</v>
      </c>
      <c r="B140">
        <v>0</v>
      </c>
    </row>
    <row r="141" spans="1:2" x14ac:dyDescent="0.25">
      <c r="A141" s="1" t="s">
        <v>79</v>
      </c>
      <c r="B141">
        <v>0.35</v>
      </c>
    </row>
    <row r="142" spans="1:2" x14ac:dyDescent="0.25">
      <c r="A142" s="1" t="s">
        <v>80</v>
      </c>
      <c r="B142">
        <v>0.35</v>
      </c>
    </row>
    <row r="143" spans="1:2" x14ac:dyDescent="0.25">
      <c r="A143" s="1" t="s">
        <v>81</v>
      </c>
      <c r="B143">
        <v>0.35</v>
      </c>
    </row>
    <row r="144" spans="1:2" x14ac:dyDescent="0.25">
      <c r="A144" s="1" t="s">
        <v>196</v>
      </c>
      <c r="B144">
        <v>0</v>
      </c>
    </row>
    <row r="145" spans="1:2" x14ac:dyDescent="0.25">
      <c r="A145" s="1" t="s">
        <v>197</v>
      </c>
      <c r="B145">
        <v>0</v>
      </c>
    </row>
    <row r="146" spans="1:2" x14ac:dyDescent="0.25">
      <c r="A146" s="1" t="s">
        <v>114</v>
      </c>
      <c r="B146" s="34">
        <v>0</v>
      </c>
    </row>
    <row r="147" spans="1:2" x14ac:dyDescent="0.25">
      <c r="A147" s="1" t="s">
        <v>198</v>
      </c>
      <c r="B147">
        <v>0</v>
      </c>
    </row>
    <row r="148" spans="1:2" x14ac:dyDescent="0.25">
      <c r="A148" s="1" t="s">
        <v>199</v>
      </c>
      <c r="B148">
        <v>0</v>
      </c>
    </row>
    <row r="149" spans="1:2" x14ac:dyDescent="0.25">
      <c r="A149" s="1" t="s">
        <v>200</v>
      </c>
      <c r="B149">
        <v>0</v>
      </c>
    </row>
    <row r="150" spans="1:2" x14ac:dyDescent="0.25">
      <c r="A150" s="1" t="s">
        <v>201</v>
      </c>
      <c r="B150">
        <v>0</v>
      </c>
    </row>
    <row r="151" spans="1:2" x14ac:dyDescent="0.25">
      <c r="A151" s="1" t="s">
        <v>202</v>
      </c>
      <c r="B151">
        <v>0</v>
      </c>
    </row>
    <row r="152" spans="1:2" x14ac:dyDescent="0.25">
      <c r="A152" s="1" t="s">
        <v>82</v>
      </c>
      <c r="B152">
        <v>0.35</v>
      </c>
    </row>
    <row r="153" spans="1:2" x14ac:dyDescent="0.25">
      <c r="A153" s="1" t="s">
        <v>203</v>
      </c>
      <c r="B153">
        <v>0</v>
      </c>
    </row>
    <row r="154" spans="1:2" x14ac:dyDescent="0.25">
      <c r="A154" s="1" t="s">
        <v>83</v>
      </c>
      <c r="B154">
        <v>0.35</v>
      </c>
    </row>
    <row r="155" spans="1:2" x14ac:dyDescent="0.25">
      <c r="A155" s="1" t="s">
        <v>204</v>
      </c>
      <c r="B155">
        <v>0</v>
      </c>
    </row>
    <row r="156" spans="1:2" x14ac:dyDescent="0.25">
      <c r="A156" s="1" t="s">
        <v>205</v>
      </c>
      <c r="B156">
        <v>0</v>
      </c>
    </row>
    <row r="157" spans="1:2" x14ac:dyDescent="0.25">
      <c r="A157" s="1" t="s">
        <v>206</v>
      </c>
      <c r="B157">
        <v>0</v>
      </c>
    </row>
    <row r="158" spans="1:2" x14ac:dyDescent="0.25">
      <c r="A158" s="1" t="s">
        <v>207</v>
      </c>
      <c r="B158">
        <v>0</v>
      </c>
    </row>
    <row r="159" spans="1:2" x14ac:dyDescent="0.25">
      <c r="A159" s="1" t="s">
        <v>84</v>
      </c>
      <c r="B159">
        <v>0.35</v>
      </c>
    </row>
    <row r="160" spans="1:2" x14ac:dyDescent="0.25">
      <c r="A160" s="1" t="s">
        <v>208</v>
      </c>
      <c r="B160">
        <v>0</v>
      </c>
    </row>
    <row r="161" spans="1:2" x14ac:dyDescent="0.25">
      <c r="A161" s="1" t="s">
        <v>85</v>
      </c>
      <c r="B161">
        <v>0.35</v>
      </c>
    </row>
    <row r="162" spans="1:2" x14ac:dyDescent="0.25">
      <c r="A162" s="1" t="s">
        <v>86</v>
      </c>
      <c r="B162">
        <v>0.35</v>
      </c>
    </row>
    <row r="163" spans="1:2" x14ac:dyDescent="0.25">
      <c r="A163" s="1" t="s">
        <v>209</v>
      </c>
      <c r="B163">
        <v>0</v>
      </c>
    </row>
    <row r="164" spans="1:2" x14ac:dyDescent="0.25">
      <c r="A164" s="1" t="s">
        <v>210</v>
      </c>
      <c r="B164" s="34">
        <v>0.35</v>
      </c>
    </row>
    <row r="165" spans="1:2" x14ac:dyDescent="0.25">
      <c r="A165" s="1" t="s">
        <v>87</v>
      </c>
      <c r="B165">
        <v>0.35</v>
      </c>
    </row>
    <row r="166" spans="1:2" x14ac:dyDescent="0.25">
      <c r="A166" s="1" t="s">
        <v>211</v>
      </c>
      <c r="B166">
        <v>0</v>
      </c>
    </row>
    <row r="167" spans="1:2" x14ac:dyDescent="0.25">
      <c r="A167" s="1" t="s">
        <v>212</v>
      </c>
      <c r="B167">
        <v>0</v>
      </c>
    </row>
    <row r="168" spans="1:2" x14ac:dyDescent="0.25">
      <c r="A168" s="1" t="s">
        <v>88</v>
      </c>
      <c r="B168">
        <v>0.35</v>
      </c>
    </row>
    <row r="169" spans="1:2" x14ac:dyDescent="0.25">
      <c r="A169" s="1" t="s">
        <v>89</v>
      </c>
      <c r="B169">
        <v>0.35</v>
      </c>
    </row>
    <row r="170" spans="1:2" x14ac:dyDescent="0.25">
      <c r="A170" s="1" t="s">
        <v>90</v>
      </c>
      <c r="B170">
        <v>0.35</v>
      </c>
    </row>
    <row r="171" spans="1:2" x14ac:dyDescent="0.25">
      <c r="A171" s="1" t="s">
        <v>213</v>
      </c>
      <c r="B171">
        <v>0</v>
      </c>
    </row>
    <row r="172" spans="1:2" x14ac:dyDescent="0.25">
      <c r="A172" s="1" t="s">
        <v>91</v>
      </c>
      <c r="B172">
        <v>0.35</v>
      </c>
    </row>
    <row r="173" spans="1:2" x14ac:dyDescent="0.25">
      <c r="A173" s="1" t="s">
        <v>92</v>
      </c>
      <c r="B173">
        <v>0.35</v>
      </c>
    </row>
    <row r="174" spans="1:2" x14ac:dyDescent="0.25">
      <c r="A174" s="1" t="s">
        <v>93</v>
      </c>
      <c r="B174">
        <v>0.35</v>
      </c>
    </row>
    <row r="175" spans="1:2" x14ac:dyDescent="0.25">
      <c r="A175" s="1" t="s">
        <v>214</v>
      </c>
      <c r="B175">
        <v>0</v>
      </c>
    </row>
    <row r="176" spans="1:2" x14ac:dyDescent="0.25">
      <c r="A176" s="1" t="s">
        <v>94</v>
      </c>
      <c r="B176">
        <v>0.35</v>
      </c>
    </row>
    <row r="177" spans="1:2" x14ac:dyDescent="0.25">
      <c r="A177" s="1" t="s">
        <v>215</v>
      </c>
      <c r="B177">
        <v>0</v>
      </c>
    </row>
    <row r="178" spans="1:2" x14ac:dyDescent="0.25">
      <c r="A178" s="1" t="s">
        <v>95</v>
      </c>
      <c r="B178">
        <v>0.35</v>
      </c>
    </row>
    <row r="179" spans="1:2" x14ac:dyDescent="0.25">
      <c r="A179" s="1" t="s">
        <v>216</v>
      </c>
      <c r="B179">
        <v>0</v>
      </c>
    </row>
    <row r="180" spans="1:2" x14ac:dyDescent="0.25">
      <c r="A180" s="1" t="s">
        <v>217</v>
      </c>
      <c r="B180">
        <v>0</v>
      </c>
    </row>
    <row r="181" spans="1:2" x14ac:dyDescent="0.25">
      <c r="A181" s="1" t="s">
        <v>218</v>
      </c>
      <c r="B181">
        <v>0</v>
      </c>
    </row>
    <row r="182" spans="1:2" x14ac:dyDescent="0.25">
      <c r="A182" s="1" t="s">
        <v>219</v>
      </c>
      <c r="B182">
        <v>0</v>
      </c>
    </row>
    <row r="183" spans="1:2" x14ac:dyDescent="0.25">
      <c r="A183" s="1" t="s">
        <v>220</v>
      </c>
      <c r="B183">
        <v>0</v>
      </c>
    </row>
    <row r="184" spans="1:2" x14ac:dyDescent="0.25">
      <c r="A184" s="1" t="s">
        <v>96</v>
      </c>
      <c r="B184">
        <v>0.35</v>
      </c>
    </row>
    <row r="185" spans="1:2" x14ac:dyDescent="0.25">
      <c r="A185" s="1" t="s">
        <v>97</v>
      </c>
      <c r="B185">
        <v>0.35</v>
      </c>
    </row>
    <row r="186" spans="1:2" x14ac:dyDescent="0.25">
      <c r="A186" s="1" t="s">
        <v>98</v>
      </c>
      <c r="B186">
        <v>0.35</v>
      </c>
    </row>
    <row r="187" spans="1:2" x14ac:dyDescent="0.25">
      <c r="A187" s="1" t="s">
        <v>221</v>
      </c>
      <c r="B187">
        <v>0</v>
      </c>
    </row>
    <row r="188" spans="1:2" x14ac:dyDescent="0.25">
      <c r="A188" s="1" t="s">
        <v>99</v>
      </c>
      <c r="B188">
        <v>0.35</v>
      </c>
    </row>
    <row r="189" spans="1:2" x14ac:dyDescent="0.25">
      <c r="A189" s="1" t="s">
        <v>222</v>
      </c>
      <c r="B189">
        <v>0</v>
      </c>
    </row>
    <row r="190" spans="1:2" x14ac:dyDescent="0.25">
      <c r="A190" s="1" t="s">
        <v>100</v>
      </c>
      <c r="B190">
        <v>0.35</v>
      </c>
    </row>
    <row r="191" spans="1:2" x14ac:dyDescent="0.25">
      <c r="A191" s="1" t="s">
        <v>223</v>
      </c>
      <c r="B191">
        <v>0</v>
      </c>
    </row>
    <row r="192" spans="1:2" x14ac:dyDescent="0.25">
      <c r="A192" s="1" t="s">
        <v>101</v>
      </c>
      <c r="B192">
        <v>0.35</v>
      </c>
    </row>
    <row r="193" spans="1:2" x14ac:dyDescent="0.25">
      <c r="A193" s="1" t="s">
        <v>224</v>
      </c>
      <c r="B193">
        <v>0</v>
      </c>
    </row>
    <row r="194" spans="1:2" x14ac:dyDescent="0.25">
      <c r="A194" s="1" t="s">
        <v>225</v>
      </c>
      <c r="B194">
        <v>0</v>
      </c>
    </row>
    <row r="195" spans="1:2" x14ac:dyDescent="0.25">
      <c r="A195" s="1" t="s">
        <v>226</v>
      </c>
      <c r="B195">
        <v>0</v>
      </c>
    </row>
    <row r="196" spans="1:2" x14ac:dyDescent="0.25">
      <c r="A196" s="1" t="s">
        <v>102</v>
      </c>
      <c r="B196">
        <v>0.35</v>
      </c>
    </row>
    <row r="197" spans="1:2" x14ac:dyDescent="0.25">
      <c r="A197" s="1" t="s">
        <v>227</v>
      </c>
      <c r="B197">
        <v>0</v>
      </c>
    </row>
    <row r="198" spans="1:2" x14ac:dyDescent="0.25">
      <c r="A198" s="1" t="s">
        <v>228</v>
      </c>
      <c r="B198">
        <v>0</v>
      </c>
    </row>
    <row r="199" spans="1:2" x14ac:dyDescent="0.25">
      <c r="A199" s="1" t="s">
        <v>103</v>
      </c>
      <c r="B199">
        <v>0.35</v>
      </c>
    </row>
    <row r="200" spans="1:2" x14ac:dyDescent="0.25">
      <c r="A200" s="1" t="s">
        <v>104</v>
      </c>
      <c r="B200">
        <v>0.35</v>
      </c>
    </row>
    <row r="201" spans="1:2" x14ac:dyDescent="0.25">
      <c r="A201" s="1" t="s">
        <v>229</v>
      </c>
      <c r="B201">
        <v>0</v>
      </c>
    </row>
    <row r="202" spans="1:2" x14ac:dyDescent="0.25">
      <c r="A202" s="1" t="s">
        <v>105</v>
      </c>
      <c r="B202">
        <v>0.35</v>
      </c>
    </row>
    <row r="203" spans="1:2" x14ac:dyDescent="0.25">
      <c r="A203" s="1" t="s">
        <v>230</v>
      </c>
      <c r="B203">
        <v>0</v>
      </c>
    </row>
    <row r="204" spans="1:2" x14ac:dyDescent="0.25">
      <c r="A204" s="1" t="s">
        <v>106</v>
      </c>
      <c r="B204">
        <v>0.35</v>
      </c>
    </row>
    <row r="205" spans="1:2" x14ac:dyDescent="0.25">
      <c r="A205" s="1" t="s">
        <v>107</v>
      </c>
      <c r="B205">
        <v>0.35</v>
      </c>
    </row>
    <row r="206" spans="1:2" x14ac:dyDescent="0.25">
      <c r="A206" s="1" t="s">
        <v>231</v>
      </c>
      <c r="B206">
        <v>0</v>
      </c>
    </row>
    <row r="207" spans="1:2" x14ac:dyDescent="0.25">
      <c r="A207" s="1" t="s">
        <v>34</v>
      </c>
      <c r="B207">
        <v>0.35</v>
      </c>
    </row>
    <row r="208" spans="1:2" x14ac:dyDescent="0.25">
      <c r="A208" s="1" t="s">
        <v>232</v>
      </c>
      <c r="B208">
        <v>0</v>
      </c>
    </row>
    <row r="209" spans="1:2" x14ac:dyDescent="0.25">
      <c r="A209" s="1" t="s">
        <v>233</v>
      </c>
      <c r="B209">
        <v>0</v>
      </c>
    </row>
    <row r="210" spans="1:2" x14ac:dyDescent="0.25">
      <c r="A210" s="1" t="s">
        <v>29</v>
      </c>
      <c r="B210" s="34">
        <v>0.5</v>
      </c>
    </row>
    <row r="211" spans="1:2" x14ac:dyDescent="0.25">
      <c r="A211" s="1" t="s">
        <v>28</v>
      </c>
      <c r="B211" s="34">
        <v>0.5</v>
      </c>
    </row>
    <row r="212" spans="1:2" x14ac:dyDescent="0.25">
      <c r="A212" s="1" t="s">
        <v>27</v>
      </c>
      <c r="B212" s="34">
        <v>0.5</v>
      </c>
    </row>
    <row r="213" spans="1:2" x14ac:dyDescent="0.25">
      <c r="A213" s="1" t="s">
        <v>26</v>
      </c>
      <c r="B213" s="34">
        <v>0.5</v>
      </c>
    </row>
    <row r="214" spans="1:2" x14ac:dyDescent="0.25">
      <c r="A214" s="1" t="s">
        <v>25</v>
      </c>
      <c r="B214" s="34">
        <v>0.35</v>
      </c>
    </row>
    <row r="215" spans="1:2" x14ac:dyDescent="0.25">
      <c r="A215" s="1" t="s">
        <v>115</v>
      </c>
      <c r="B215" s="34">
        <v>0</v>
      </c>
    </row>
    <row r="216" spans="1:2" x14ac:dyDescent="0.25">
      <c r="A216" s="49" t="s">
        <v>23</v>
      </c>
      <c r="B216" s="34">
        <v>0.25</v>
      </c>
    </row>
  </sheetData>
  <mergeCells count="7">
    <mergeCell ref="A10:L10"/>
    <mergeCell ref="M1:W1"/>
    <mergeCell ref="D5:D9"/>
    <mergeCell ref="D2:H2"/>
    <mergeCell ref="F3:H3"/>
    <mergeCell ref="A1:L1"/>
    <mergeCell ref="J2:L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E1E21B8E66543B65C1321C15ABF86" ma:contentTypeVersion="" ma:contentTypeDescription="Create a new document." ma:contentTypeScope="" ma:versionID="cbbbf34fd3a34b3e71a17b0c0eca121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5a99eeca54ce25fca9ace5c28369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7D3CAB-B930-4987-B034-B098C0078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C0E99A-E886-4B70-972C-BBB11BA3E8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F17407-2811-44B9-9D58-6A207E7FCFE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31</vt:i4>
      </vt:variant>
    </vt:vector>
  </HeadingPairs>
  <TitlesOfParts>
    <vt:vector size="35" baseType="lpstr">
      <vt:lpstr>Elolap</vt:lpstr>
      <vt:lpstr>Tamogatastartalom</vt:lpstr>
      <vt:lpstr>Szamitasok</vt:lpstr>
      <vt:lpstr>Adatok</vt:lpstr>
      <vt:lpstr>altalanoskizarok</vt:lpstr>
      <vt:lpstr>arfolyam</vt:lpstr>
      <vt:lpstr>deminimiskizarok</vt:lpstr>
      <vt:lpstr>eurelszamolhato</vt:lpstr>
      <vt:lpstr>eximfelar</vt:lpstr>
      <vt:lpstr>forintelszamolhato</vt:lpstr>
      <vt:lpstr>halaszatikizarok</vt:lpstr>
      <vt:lpstr>Helyszín</vt:lpstr>
      <vt:lpstr>Hitelek</vt:lpstr>
      <vt:lpstr>hitelpertamogatasarany</vt:lpstr>
      <vt:lpstr>Közép_Magyarország</vt:lpstr>
      <vt:lpstr>mezogazdkizarok</vt:lpstr>
      <vt:lpstr>minkamatkedv</vt:lpstr>
      <vt:lpstr>piacikamat</vt:lpstr>
      <vt:lpstr>refkam</vt:lpstr>
      <vt:lpstr>refkammax</vt:lpstr>
      <vt:lpstr>refkammin</vt:lpstr>
      <vt:lpstr>tenylegeskamat</vt:lpstr>
      <vt:lpstr>tenylegestt</vt:lpstr>
      <vt:lpstr>tizenheteskizarok</vt:lpstr>
      <vt:lpstr>tizennegyeskizarok</vt:lpstr>
      <vt:lpstr>torlesztes</vt:lpstr>
      <vt:lpstr>Törlesztés</vt:lpstr>
      <vt:lpstr>Törlesztés_lízing</vt:lpstr>
      <vt:lpstr>Törlesztésgyakoriság</vt:lpstr>
      <vt:lpstr>ttmax_alt</vt:lpstr>
      <vt:lpstr>ttmax_hal</vt:lpstr>
      <vt:lpstr>ttmax_mg</vt:lpstr>
      <vt:lpstr>ttmax14es</vt:lpstr>
      <vt:lpstr>ttmax17es</vt:lpstr>
      <vt:lpstr>vallmeret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Schamschula György</dc:creator>
  <cp:lastModifiedBy>Gyetvainé Horváth Mária</cp:lastModifiedBy>
  <dcterms:created xsi:type="dcterms:W3CDTF">2014-04-01T08:56:39Z</dcterms:created>
  <dcterms:modified xsi:type="dcterms:W3CDTF">2021-04-22T11:43:39Z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yelv">
    <vt:lpwstr>Magyar</vt:lpwstr>
  </property>
  <property fmtid="{D5CDD505-2E9C-101B-9397-08002B2CF9AE}" pid="3" name="ContentTypeId">
    <vt:lpwstr>0x010100C06E1E21B8E66543B65C1321C15ABF86</vt:lpwstr>
  </property>
</Properties>
</file>